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使用說明" sheetId="1" state="visible" r:id="rId1"/>
    <sheet name="原料" sheetId="2" state="visible" r:id="rId2"/>
    <sheet name="配方" sheetId="3" state="visible" r:id="rId3"/>
    <sheet name="計算" sheetId="4" state="visible" r:id="rId4"/>
    <sheet name="標示格式一" sheetId="5" state="visible" r:id="rId5"/>
    <sheet name="標示格式二" sheetId="6" state="visible" r:id="rId6"/>
  </sheets>
  <definedNames>
    <definedName name="_xlnm._FilterDatabase" localSheetId="1" hidden="1">'原料'!$A$4:$M$246</definedName>
    <definedName name="_xlnm.Print_Area" localSheetId="4">'標示格式一'!$A$1:$C$14</definedName>
    <definedName name="_xlnm.Print_Area" localSheetId="5">'標示格式二'!$A$1:$C$17</definedName>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微軟正黑體"/>
      <b val="1"/>
      <sz val="16"/>
    </font>
    <font>
      <name val="微軟正黑體"/>
      <color rgb="00595959"/>
      <sz val="10.5"/>
    </font>
    <font>
      <name val="微軟正黑體"/>
      <b val="1"/>
      <sz val="12"/>
    </font>
    <font>
      <name val="微軟正黑體"/>
      <sz val="10.5"/>
    </font>
    <font>
      <name val="微軟正黑體"/>
      <color rgb="002E74B5"/>
      <sz val="10.5"/>
      <u val="single"/>
    </font>
    <font>
      <name val="微軟正黑體"/>
      <b val="1"/>
      <sz val="14"/>
    </font>
    <font>
      <name val="微軟正黑體"/>
      <b val="1"/>
      <sz val="10.5"/>
    </font>
    <font>
      <name val="微軟正黑體"/>
      <sz val="10"/>
    </font>
    <font>
      <name val="微軟正黑體"/>
      <b val="1"/>
      <color rgb="00C00000"/>
      <sz val="10.5"/>
    </font>
    <font>
      <name val="微軟正黑體"/>
      <color rgb="00595959"/>
      <sz val="9.5"/>
    </font>
    <font>
      <name val="微軟正黑體"/>
      <color rgb="00C00000"/>
      <sz val="10.5"/>
    </font>
    <font>
      <name val="微軟正黑體"/>
      <b val="1"/>
      <sz val="9.5"/>
    </font>
    <font>
      <name val="微軟正黑體"/>
      <sz val="11"/>
    </font>
    <font>
      <name val="微軟正黑體"/>
      <color rgb="00333333"/>
      <sz val="9"/>
    </font>
  </fonts>
  <fills count="4">
    <fill>
      <patternFill/>
    </fill>
    <fill>
      <patternFill patternType="gray125"/>
    </fill>
    <fill>
      <patternFill patternType="solid">
        <fgColor rgb="00E8EEF5"/>
      </patternFill>
    </fill>
    <fill>
      <patternFill patternType="solid">
        <fgColor rgb="00FFF2CC"/>
      </patternFill>
    </fill>
  </fills>
  <borders count="3">
    <border>
      <left/>
      <right/>
      <top/>
      <bottom/>
      <diagonal/>
    </border>
    <border>
      <left style="thin">
        <color rgb="00BFC5CC"/>
      </left>
      <right style="thin">
        <color rgb="00BFC5CC"/>
      </right>
      <top style="thin">
        <color rgb="00BFC5CC"/>
      </top>
      <bottom style="thin">
        <color rgb="00BFC5CC"/>
      </bottom>
    </border>
    <border>
      <left style="thin">
        <color rgb="00000000"/>
      </left>
      <right style="thin">
        <color rgb="00000000"/>
      </right>
      <top style="thin">
        <color rgb="00000000"/>
      </top>
      <bottom style="thin">
        <color rgb="00000000"/>
      </bottom>
    </border>
  </borders>
  <cellStyleXfs count="1">
    <xf numFmtId="0" fontId="0" fillId="0" borderId="0"/>
  </cellStyleXfs>
  <cellXfs count="33">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center"/>
    </xf>
    <xf numFmtId="0" fontId="7" fillId="2" borderId="1" applyAlignment="1" pivotButton="0" quotePrefix="0" xfId="0">
      <alignment horizontal="center" vertical="center" wrapText="1"/>
    </xf>
    <xf numFmtId="0" fontId="8" fillId="0" borderId="1" applyAlignment="1" pivotButton="0" quotePrefix="0" xfId="0">
      <alignment horizontal="left" vertical="center"/>
    </xf>
    <xf numFmtId="0" fontId="8" fillId="0" borderId="1" applyAlignment="1" pivotButton="0" quotePrefix="0" xfId="0">
      <alignment horizontal="right" vertical="center"/>
    </xf>
    <xf numFmtId="0" fontId="9" fillId="0" borderId="0" applyAlignment="1" pivotButton="0" quotePrefix="0" xfId="0">
      <alignment horizontal="left" vertical="center"/>
    </xf>
    <xf numFmtId="0" fontId="7" fillId="0" borderId="1" applyAlignment="1" pivotButton="0" quotePrefix="0" xfId="0">
      <alignment horizontal="left" vertical="center"/>
    </xf>
    <xf numFmtId="0" fontId="4" fillId="3" borderId="1" applyAlignment="1" applyProtection="1" pivotButton="0" quotePrefix="0" xfId="0">
      <alignment horizontal="left" vertical="center"/>
      <protection locked="0" hidden="0"/>
    </xf>
    <xf numFmtId="0" fontId="10" fillId="0" borderId="0" applyAlignment="1" pivotButton="0" quotePrefix="0" xfId="0">
      <alignment horizontal="left" vertical="center"/>
    </xf>
    <xf numFmtId="0" fontId="4" fillId="0" borderId="1" applyAlignment="1" pivotButton="0" quotePrefix="0" xfId="0">
      <alignment horizontal="left" vertical="center"/>
    </xf>
    <xf numFmtId="0" fontId="7" fillId="2" borderId="1" applyAlignment="1" pivotButton="0" quotePrefix="0" xfId="0">
      <alignment horizontal="center" vertical="center"/>
    </xf>
    <xf numFmtId="0" fontId="4" fillId="0" borderId="1" applyAlignment="1" pivotButton="0" quotePrefix="0" xfId="0">
      <alignment horizontal="center" vertical="center"/>
    </xf>
    <xf numFmtId="0" fontId="4" fillId="3" borderId="1" applyAlignment="1" applyProtection="1" pivotButton="0" quotePrefix="0" xfId="0">
      <alignment horizontal="right" vertical="center"/>
      <protection locked="0" hidden="0"/>
    </xf>
    <xf numFmtId="0" fontId="11" fillId="0" borderId="0" applyAlignment="1" pivotButton="0" quotePrefix="0" xfId="0">
      <alignment horizontal="left" vertical="center"/>
    </xf>
    <xf numFmtId="0" fontId="7" fillId="0" borderId="0" applyAlignment="1" pivotButton="0" quotePrefix="0" xfId="0">
      <alignment horizontal="center" vertical="center"/>
    </xf>
    <xf numFmtId="0" fontId="4" fillId="0" borderId="0" applyAlignment="1" pivotButton="0" quotePrefix="0" xfId="0">
      <alignment horizontal="left" vertical="center"/>
    </xf>
    <xf numFmtId="0" fontId="4" fillId="0" borderId="0" applyAlignment="1" pivotButton="0" quotePrefix="0" xfId="0">
      <alignment horizontal="center" vertical="center"/>
    </xf>
    <xf numFmtId="0" fontId="12" fillId="2" borderId="1" applyAlignment="1" pivotButton="0" quotePrefix="0" xfId="0">
      <alignment horizontal="center" vertical="center" wrapText="1"/>
    </xf>
    <xf numFmtId="0" fontId="4" fillId="0" borderId="0" pivotButton="0" quotePrefix="0" xfId="0"/>
    <xf numFmtId="0" fontId="4" fillId="0" borderId="0" applyProtection="1" pivotButton="0" quotePrefix="0" xfId="0">
      <protection locked="1" hidden="1"/>
    </xf>
    <xf numFmtId="0" fontId="7" fillId="0" borderId="0" applyAlignment="1" pivotButton="0" quotePrefix="0" xfId="0">
      <alignment horizontal="left" vertical="center"/>
    </xf>
    <xf numFmtId="0" fontId="3" fillId="0" borderId="0" applyAlignment="1" pivotButton="0" quotePrefix="0" xfId="0">
      <alignment horizontal="center" vertical="center"/>
    </xf>
    <xf numFmtId="0" fontId="1" fillId="0" borderId="0" applyAlignment="1" pivotButton="0" quotePrefix="0" xfId="0">
      <alignment horizontal="center" vertical="center"/>
    </xf>
    <xf numFmtId="0" fontId="13" fillId="0" borderId="0" applyAlignment="1" pivotButton="0" quotePrefix="0" xfId="0">
      <alignment horizontal="center" vertical="center"/>
    </xf>
    <xf numFmtId="0" fontId="7" fillId="2" borderId="2" applyAlignment="1" pivotButton="0" quotePrefix="0" xfId="0">
      <alignment horizontal="center" vertical="center" wrapText="1"/>
    </xf>
    <xf numFmtId="0" fontId="4" fillId="0" borderId="2" applyAlignment="1" pivotButton="0" quotePrefix="0" xfId="0">
      <alignment horizontal="left" vertical="center"/>
    </xf>
    <xf numFmtId="0" fontId="4" fillId="0" borderId="2" applyAlignment="1" pivotButton="0" quotePrefix="0" xfId="0">
      <alignment horizontal="center" vertical="center"/>
    </xf>
    <xf numFmtId="0" fontId="14"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foodlabeltool.com/?src=template" TargetMode="External" Id="rId1" /><Relationship Type="http://schemas.openxmlformats.org/officeDocument/2006/relationships/hyperlink" Target="https://foodlabeltool.com/nutrition-label-converter/?src=template" TargetMode="External" Id="rId2" /><Relationship Type="http://schemas.openxmlformats.org/officeDocument/2006/relationships/hyperlink" Target="https://foodlabeltool.com/downloads/nutrition-label-calculator-excel/" TargetMode="External" Id="rId3" /><Relationship Type="http://schemas.openxmlformats.org/officeDocument/2006/relationships/hyperlink" Target="https://www.fda.gov.tw/TC/newsContent.aspx?cid=3&amp;id=28026" TargetMode="External" Id="rId4" /></Relationships>
</file>

<file path=xl/worksheets/sheet1.xml><?xml version="1.0" encoding="utf-8"?>
<worksheet xmlns="http://schemas.openxmlformats.org/spreadsheetml/2006/main">
  <sheetPr>
    <outlinePr summaryBelow="1" summaryRight="1"/>
    <pageSetUpPr/>
  </sheetPr>
  <dimension ref="A1:A40"/>
  <sheetViews>
    <sheetView showGridLines="0" workbookViewId="0">
      <selection activeCell="A1" sqref="A1"/>
    </sheetView>
  </sheetViews>
  <sheetFormatPr baseColWidth="8" defaultRowHeight="15"/>
  <cols>
    <col width="110" customWidth="1" min="1" max="1"/>
  </cols>
  <sheetData>
    <row r="1" ht="26" customHeight="1">
      <c r="A1" s="1" t="inlineStr">
        <is>
          <t>營養標示計算表（Excel）</t>
        </is>
      </c>
    </row>
    <row r="2">
      <c r="A2" s="2" t="inlineStr">
        <is>
          <t>版本日期：2026-09-25</t>
        </is>
      </c>
    </row>
    <row r="4">
      <c r="A4" s="3" t="inlineStr">
        <is>
          <t>這份表能做什麼</t>
        </is>
      </c>
    </row>
    <row r="5" ht="18" customHeight="1">
      <c r="A5" s="4" t="inlineStr">
        <is>
          <t>填原料和公克數，表格會算出營養標示八大項，排成格式一、格式二兩種標示表。</t>
        </is>
      </c>
    </row>
    <row r="6" ht="30" customHeight="1">
      <c r="A6" s="4" t="inlineStr">
        <is>
          <t>只適用固體、半固體食品（以公克標示）。飲料、湯品這類液體要用每 100 毫升標示，本表不算，請用網站計算器或數值換算工具。</t>
        </is>
      </c>
    </row>
    <row r="8">
      <c r="A8" s="3" t="inlineStr">
        <is>
          <t>怎麼用</t>
        </is>
      </c>
    </row>
    <row r="9" ht="18" customHeight="1">
      <c r="A9" s="4" t="inlineStr">
        <is>
          <t>1. 到「配方」，原料從下拉選單選，再填公克數。「原料」工作表裡找不到的，填在下面的「自填原料」。</t>
        </is>
      </c>
    </row>
    <row r="10" ht="18" customHeight="1">
      <c r="A10" s="4" t="inlineStr">
        <is>
          <t>2. 填成品總重（做好、放涼後實際秤的整批重量）、每一份量、本包裝含幾份。</t>
        </is>
      </c>
    </row>
    <row r="11" ht="18" customHeight="1">
      <c r="A11" s="4" t="inlineStr">
        <is>
          <t>3. 到「標示格式一」或「標示格式二」看結果，兩種擇一使用。表格下方有紅字時，先照紅字修正。</t>
        </is>
      </c>
    </row>
    <row r="13">
      <c r="A13" s="3" t="inlineStr">
        <is>
          <t>兩種格式</t>
        </is>
      </c>
    </row>
    <row r="14" ht="18" customHeight="1">
      <c r="A14" s="4" t="inlineStr">
        <is>
          <t>格式一：每份＋每 100 公克（或毫升）。未滿一歲嬰兒食品應用此格式。</t>
        </is>
      </c>
    </row>
    <row r="15" ht="18" customHeight="1">
      <c r="A15" s="4" t="inlineStr">
        <is>
          <t>格式二：每份＋每日參考值百分比。錠狀、膠囊狀食品（非糖果類）應用此格式。</t>
        </is>
      </c>
    </row>
    <row r="17">
      <c r="A17" s="3" t="inlineStr">
        <is>
          <t>表裡怎麼算</t>
        </is>
      </c>
    </row>
    <row r="18" ht="30" customHeight="1">
      <c r="A18" s="4" t="inlineStr">
        <is>
          <t>熱量依第十一點重算：蛋白質每公克 4 大卡、脂肪 9 大卡、碳水化合物 4 大卡。「原料」工作表裡的熱量不拿來加總。</t>
        </is>
      </c>
    </row>
    <row r="19" ht="18" customHeight="1">
      <c r="A19" s="4" t="inlineStr">
        <is>
          <t>每 100 公克的數字＝整批含量 ÷ 成品總重 × 100；每份＝整批含量 ÷ 成品總重 × 每一份量。</t>
        </is>
      </c>
    </row>
    <row r="20" ht="18" customHeight="1">
      <c r="A20" s="4" t="inlineStr">
        <is>
          <t>數字修整用四捨五入（第九點）。熱量、鈉取整數，其他六項取到小數點後一位；每一份量、份數是整數就印整數。</t>
        </is>
      </c>
    </row>
    <row r="21" ht="30" customHeight="1">
      <c r="A21" s="4" t="inlineStr">
        <is>
          <t>符合附表二的條件就印「0」，每 100 公克和每份都要符合，拿還沒修整的數字比。脂肪要連飽和脂肪、反式脂肪都符合，碳水化合物要連糖也符合（第八點）。</t>
        </is>
      </c>
    </row>
    <row r="22" ht="30" customHeight="1">
      <c r="A22" s="4" t="inlineStr">
        <is>
          <t>每日參考值用附表一：熱量 2000 大卡、蛋白質 60 公克、脂肪 60 公克、飽和脂肪 18 公克、碳水化合物 300 公克、鈉 2000 毫克。反式脂肪和糖沒有參考值，百分比欄印「＊」（第四點）。</t>
        </is>
      </c>
    </row>
    <row r="23" ht="18" customHeight="1">
      <c r="A23" s="4" t="inlineStr">
        <is>
          <t>修整、印「0」的條件、每日參考值、熱量算法、每 100 公克的算法，都和網站計算器相同。</t>
        </is>
      </c>
    </row>
    <row r="25">
      <c r="A25" s="3" t="inlineStr">
        <is>
          <t>本表不處理的事</t>
        </is>
      </c>
    </row>
    <row r="26" ht="30" customHeight="1">
      <c r="A26" s="4" t="inlineStr">
        <is>
          <t>第十一點對膳食纖維、糖醇、有機酸、酒精另外訂了熱量係數。本表和網站計算器都沒有這幾欄，熱量一律照蛋白質、脂肪、碳水化合物算；配方裡有這些成分、手上又有檢驗報告，請改用數值換算工具。</t>
        </is>
      </c>
    </row>
    <row r="27" ht="18" customHeight="1">
      <c r="A27" s="4" t="inlineStr">
        <is>
          <t>不判斷過敏原，也不排成分表。</t>
        </is>
      </c>
    </row>
    <row r="28" ht="18" customHeight="1">
      <c r="A28" s="4" t="inlineStr">
        <is>
          <t>自填原料的八項，空白不會當成 0：沒填齊，標示表就不出數字。</t>
        </is>
      </c>
    </row>
    <row r="29" ht="18" customHeight="1">
      <c r="A29" s="4" t="inlineStr">
        <is>
          <t>紅字不會擋住列印，請看完紅字、修正後再印。</t>
        </is>
      </c>
    </row>
    <row r="30" ht="30" customHeight="1">
      <c r="A30" s="4" t="inlineStr">
        <is>
          <t>手機用 LINE 或郵件預覽時，可能看不到算好的數字，請用 Excel、Numbers 或 Google 試算表開啟。</t>
        </is>
      </c>
    </row>
    <row r="32">
      <c r="A32" s="3" t="inlineStr">
        <is>
          <t>資料來源</t>
        </is>
      </c>
    </row>
    <row r="33" ht="30" customHeight="1">
      <c r="A33" s="4" t="inlineStr">
        <is>
          <t>資料來源：衛生福利部食品藥物管理署 食品營養成分資料庫（政府資料開放授權條款第 1 版）。另有 27 筆取自美國農業部 FoodData Central，每一筆的編號寫在「原料」工作表最右欄。</t>
        </is>
      </c>
    </row>
    <row r="34">
      <c r="A34" s="4" t="inlineStr">
        <is>
          <t>計算結果僅供參考，由業者自行確認。</t>
        </is>
      </c>
    </row>
    <row r="36">
      <c r="A36" s="3" t="inlineStr">
        <is>
          <t>網站</t>
        </is>
      </c>
    </row>
    <row r="37">
      <c r="A37" s="5" t="inlineStr">
        <is>
          <t>想核對過敏原或存配方，請用網站計算器：https://foodlabeltool.com/?src=template</t>
        </is>
      </c>
    </row>
    <row r="38">
      <c r="A38" s="5" t="inlineStr">
        <is>
          <t>手上已經有檢驗報告或每 100 公克的數字，用數值換算工具：https://foodlabeltool.com/nutrition-label-converter/?src=template</t>
        </is>
      </c>
    </row>
    <row r="39">
      <c r="A39" s="5" t="inlineStr">
        <is>
          <t>本表最新版與說明：https://foodlabeltool.com/downloads/nutrition-label-calculator-excel/</t>
        </is>
      </c>
    </row>
    <row r="40">
      <c r="A40" s="5" t="inlineStr">
        <is>
          <t>官方規定：衛生福利部食品藥物管理署｜包裝食品營養標示應遵行事項</t>
        </is>
      </c>
    </row>
  </sheetData>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46"/>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6" customWidth="1" min="2" max="2"/>
    <col width="16" customWidth="1" min="3" max="3"/>
    <col width="16" customWidth="1" min="4" max="4"/>
    <col width="11" customWidth="1" min="5" max="5"/>
    <col width="11" customWidth="1" min="6" max="6"/>
    <col width="11" customWidth="1" min="7" max="7"/>
    <col width="11" customWidth="1" min="8" max="8"/>
    <col width="11" customWidth="1" min="9" max="9"/>
    <col width="13" customWidth="1" min="10" max="10"/>
    <col width="11" customWidth="1" min="11" max="11"/>
    <col width="11" customWidth="1" min="12" max="12"/>
    <col width="62" customWidth="1" min="13" max="13"/>
  </cols>
  <sheetData>
    <row r="1">
      <c r="A1" s="6" t="inlineStr">
        <is>
          <t>原料（每 100 公克的含量）</t>
        </is>
      </c>
    </row>
    <row r="2">
      <c r="A2" s="2" t="inlineStr">
        <is>
          <t>資料來源：衛生福利部食品藥物管理署 食品營養成分資料庫（政府資料開放授權條款第 1 版）；另有 27 筆取自美國農業部 FoodData Central，逐筆寫在最右邊「資料來源」欄。</t>
        </is>
      </c>
    </row>
    <row r="3">
      <c r="A3" s="2" t="inlineStr">
        <is>
          <t>共 242 筆，只收八項都有數據的原料。這張表已鎖住；要用的原料不在表裡，請填在「配方」的自填原料。</t>
        </is>
      </c>
    </row>
    <row r="4" ht="30" customHeight="1">
      <c r="A4" s="7" t="inlineStr">
        <is>
          <t>名稱</t>
        </is>
      </c>
      <c r="B4" s="7" t="inlineStr">
        <is>
          <t>別名</t>
        </is>
      </c>
      <c r="C4" s="7" t="inlineStr">
        <is>
          <t>樣品狀態</t>
        </is>
      </c>
      <c r="D4" s="7" t="inlineStr">
        <is>
          <t>類別</t>
        </is>
      </c>
      <c r="E4" s="7" t="inlineStr">
        <is>
          <t>熱量（大卡）</t>
        </is>
      </c>
      <c r="F4" s="7" t="inlineStr">
        <is>
          <t>蛋白質（公克）</t>
        </is>
      </c>
      <c r="G4" s="7" t="inlineStr">
        <is>
          <t>脂肪（公克）</t>
        </is>
      </c>
      <c r="H4" s="7" t="inlineStr">
        <is>
          <t>飽和脂肪（公克）</t>
        </is>
      </c>
      <c r="I4" s="7" t="inlineStr">
        <is>
          <t>反式脂肪（公克）</t>
        </is>
      </c>
      <c r="J4" s="7" t="inlineStr">
        <is>
          <t>碳水化合物（公克）</t>
        </is>
      </c>
      <c r="K4" s="7" t="inlineStr">
        <is>
          <t>糖（公克）</t>
        </is>
      </c>
      <c r="L4" s="7" t="inlineStr">
        <is>
          <t>鈉（毫克）</t>
        </is>
      </c>
      <c r="M4" s="7" t="inlineStr">
        <is>
          <t>資料來源</t>
        </is>
      </c>
    </row>
    <row r="5">
      <c r="A5" s="8" t="inlineStr">
        <is>
          <t>通用小麥麵粉</t>
        </is>
      </c>
      <c r="B5" s="8" t="inlineStr">
        <is>
          <t>通用麵粉、all-purpose flour、中筋麵粉、中粉</t>
        </is>
      </c>
      <c r="C5" s="8" t="n"/>
      <c r="D5" s="8" t="inlineStr">
        <is>
          <t>穀物類</t>
        </is>
      </c>
      <c r="E5" s="9" t="n">
        <v>353</v>
      </c>
      <c r="F5" s="9" t="n">
        <v>11.8</v>
      </c>
      <c r="G5" s="9" t="n">
        <v>1.47</v>
      </c>
      <c r="H5" s="9" t="n">
        <v>0.59</v>
      </c>
      <c r="I5" s="9" t="n">
        <v>0</v>
      </c>
      <c r="J5" s="9" t="n">
        <v>73.5</v>
      </c>
      <c r="K5" s="9" t="n">
        <v>0</v>
      </c>
      <c r="L5" s="9" t="n">
        <v>0</v>
      </c>
      <c r="M5" s="8" t="inlineStr">
        <is>
          <t>USDA FoodData Central Branded Foods（原廠包裝標示，2026-04 快照）；FDC 2399842</t>
        </is>
      </c>
    </row>
    <row r="6">
      <c r="A6" s="8" t="inlineStr">
        <is>
          <t>蛋糕麵粉</t>
        </is>
      </c>
      <c r="B6" s="8" t="inlineStr">
        <is>
          <t>蛋糕粉、cake flour、低筋麵粉、低粉、薄力粉</t>
        </is>
      </c>
      <c r="C6" s="8" t="n"/>
      <c r="D6" s="8" t="inlineStr">
        <is>
          <t>穀物類</t>
        </is>
      </c>
      <c r="E6" s="9" t="n">
        <v>367</v>
      </c>
      <c r="F6" s="9" t="n">
        <v>6.67</v>
      </c>
      <c r="G6" s="9" t="n">
        <v>0</v>
      </c>
      <c r="H6" s="9" t="n">
        <v>0</v>
      </c>
      <c r="I6" s="9" t="n">
        <v>0</v>
      </c>
      <c r="J6" s="9" t="n">
        <v>80</v>
      </c>
      <c r="K6" s="9" t="n">
        <v>0</v>
      </c>
      <c r="L6" s="9" t="n">
        <v>0</v>
      </c>
      <c r="M6" s="8" t="inlineStr">
        <is>
          <t>USDA FoodData Central Branded Foods（原廠包裝標示，2026-04 快照）；FDC 2434616</t>
        </is>
      </c>
    </row>
    <row r="7">
      <c r="A7" s="8" t="inlineStr">
        <is>
          <t>大麥仁</t>
        </is>
      </c>
      <c r="B7" s="8" t="inlineStr">
        <is>
          <t>小薏仁、洋薏仁、珍珠薏仁</t>
        </is>
      </c>
      <c r="C7" s="8" t="inlineStr">
        <is>
          <t>生,已去殼</t>
        </is>
      </c>
      <c r="D7" s="8" t="inlineStr">
        <is>
          <t>穀物類</t>
        </is>
      </c>
      <c r="E7" s="9" t="n">
        <v>365</v>
      </c>
      <c r="F7" s="9" t="n">
        <v>8.6</v>
      </c>
      <c r="G7" s="9" t="n">
        <v>1.6</v>
      </c>
      <c r="H7" s="9" t="n">
        <v>0.5</v>
      </c>
      <c r="I7" s="9" t="n">
        <v>0</v>
      </c>
      <c r="J7" s="9" t="n">
        <v>77.09999999999999</v>
      </c>
      <c r="K7" s="9" t="n">
        <v>0.4</v>
      </c>
      <c r="L7" s="9" t="n">
        <v>13</v>
      </c>
      <c r="M7" s="8" t="inlineStr">
        <is>
          <t>食品營養成分資料庫 A0100101</t>
        </is>
      </c>
    </row>
    <row r="8">
      <c r="A8" s="8" t="inlineStr">
        <is>
          <t>高筋麵粉(2021年取樣)</t>
        </is>
      </c>
      <c r="B8" s="8" t="inlineStr">
        <is>
          <t>強力粉</t>
        </is>
      </c>
      <c r="C8" s="8" t="n"/>
      <c r="D8" s="8" t="inlineStr">
        <is>
          <t>穀物類</t>
        </is>
      </c>
      <c r="E8" s="9" t="n">
        <v>362</v>
      </c>
      <c r="F8" s="9" t="n">
        <v>13.8</v>
      </c>
      <c r="G8" s="9" t="n">
        <v>1.3</v>
      </c>
      <c r="H8" s="9" t="n">
        <v>0.5</v>
      </c>
      <c r="I8" s="9" t="n">
        <v>0</v>
      </c>
      <c r="J8" s="9" t="n">
        <v>72.2</v>
      </c>
      <c r="K8" s="9" t="n">
        <v>0.3</v>
      </c>
      <c r="L8" s="9" t="n">
        <v>1</v>
      </c>
      <c r="M8" s="8" t="inlineStr">
        <is>
          <t>食品營養成分資料庫 A0320405</t>
        </is>
      </c>
    </row>
    <row r="9">
      <c r="A9" s="8" t="inlineStr">
        <is>
          <t>秈米(台中秈10號)(2024年取樣)</t>
        </is>
      </c>
      <c r="B9" s="8" t="inlineStr">
        <is>
          <t>在來米、長米</t>
        </is>
      </c>
      <c r="C9" s="8" t="inlineStr">
        <is>
          <t>生,白秈米</t>
        </is>
      </c>
      <c r="D9" s="8" t="inlineStr">
        <is>
          <t>穀物類</t>
        </is>
      </c>
      <c r="E9" s="9" t="n">
        <v>357</v>
      </c>
      <c r="F9" s="9" t="n">
        <v>6.1</v>
      </c>
      <c r="G9" s="9" t="n">
        <v>0.6</v>
      </c>
      <c r="H9" s="9" t="n">
        <v>0.2</v>
      </c>
      <c r="I9" s="9" t="n">
        <v>0</v>
      </c>
      <c r="J9" s="9" t="n">
        <v>79.8</v>
      </c>
      <c r="K9" s="9" t="n">
        <v>0.1</v>
      </c>
      <c r="L9" s="9" t="n">
        <v>0</v>
      </c>
      <c r="M9" s="8" t="inlineStr">
        <is>
          <t>食品營養成分資料庫 A0500103</t>
        </is>
      </c>
    </row>
    <row r="10">
      <c r="A10" s="8" t="inlineStr">
        <is>
          <t>稉米(高雄139號)(2021年取樣)</t>
        </is>
      </c>
      <c r="B10" s="8" t="inlineStr">
        <is>
          <t>蓬萊米、圓米</t>
        </is>
      </c>
      <c r="C10" s="8" t="inlineStr">
        <is>
          <t>生,白稉米</t>
        </is>
      </c>
      <c r="D10" s="8" t="inlineStr">
        <is>
          <t>穀物類</t>
        </is>
      </c>
      <c r="E10" s="9" t="n">
        <v>352</v>
      </c>
      <c r="F10" s="9" t="n">
        <v>5.7</v>
      </c>
      <c r="G10" s="9" t="n">
        <v>0.5</v>
      </c>
      <c r="H10" s="9" t="n">
        <v>0.2</v>
      </c>
      <c r="I10" s="9" t="n">
        <v>0</v>
      </c>
      <c r="J10" s="9" t="n">
        <v>79.2</v>
      </c>
      <c r="K10" s="9" t="n">
        <v>0.1</v>
      </c>
      <c r="L10" s="9" t="n">
        <v>1</v>
      </c>
      <c r="M10" s="8" t="inlineStr">
        <is>
          <t>食品營養成分資料庫 A0500210</t>
        </is>
      </c>
    </row>
    <row r="11">
      <c r="A11" s="8" t="inlineStr">
        <is>
          <t>越光米(台南16號)(2024年取樣)</t>
        </is>
      </c>
      <c r="B11" s="8" t="inlineStr">
        <is>
          <t>蓬萊米、圓米</t>
        </is>
      </c>
      <c r="C11" s="8" t="inlineStr">
        <is>
          <t>生,白稉米</t>
        </is>
      </c>
      <c r="D11" s="8" t="inlineStr">
        <is>
          <t>穀物類</t>
        </is>
      </c>
      <c r="E11" s="9" t="n">
        <v>356</v>
      </c>
      <c r="F11" s="9" t="n">
        <v>6.9</v>
      </c>
      <c r="G11" s="9" t="n">
        <v>0.3</v>
      </c>
      <c r="H11" s="9" t="n">
        <v>0.1</v>
      </c>
      <c r="I11" s="9" t="n">
        <v>0</v>
      </c>
      <c r="J11" s="9" t="n">
        <v>79.09999999999999</v>
      </c>
      <c r="K11" s="9" t="n">
        <v>0.1</v>
      </c>
      <c r="L11" s="9" t="n">
        <v>1</v>
      </c>
      <c r="M11" s="8" t="inlineStr">
        <is>
          <t>食品營養成分資料庫 A0500302</t>
        </is>
      </c>
    </row>
    <row r="12">
      <c r="A12" s="8" t="inlineStr">
        <is>
          <t>黑秈糙米</t>
        </is>
      </c>
      <c r="B12" s="8" t="inlineStr">
        <is>
          <t>黑米</t>
        </is>
      </c>
      <c r="C12" s="8" t="inlineStr">
        <is>
          <t>生,真空袋裝</t>
        </is>
      </c>
      <c r="D12" s="8" t="inlineStr">
        <is>
          <t>穀物類</t>
        </is>
      </c>
      <c r="E12" s="9" t="n">
        <v>363</v>
      </c>
      <c r="F12" s="9" t="n">
        <v>7.5</v>
      </c>
      <c r="G12" s="9" t="n">
        <v>3.5</v>
      </c>
      <c r="H12" s="9" t="n">
        <v>0.9</v>
      </c>
      <c r="I12" s="9" t="n">
        <v>0</v>
      </c>
      <c r="J12" s="9" t="n">
        <v>74</v>
      </c>
      <c r="K12" s="9" t="n">
        <v>0.8</v>
      </c>
      <c r="L12" s="9" t="n">
        <v>1</v>
      </c>
      <c r="M12" s="8" t="inlineStr">
        <is>
          <t>食品營養成分資料庫 A0501401</t>
        </is>
      </c>
    </row>
    <row r="13">
      <c r="A13" s="8" t="inlineStr">
        <is>
          <t>紅藜麥</t>
        </is>
      </c>
      <c r="B13" s="8" t="n"/>
      <c r="C13" s="8" t="inlineStr">
        <is>
          <t>生</t>
        </is>
      </c>
      <c r="D13" s="8" t="inlineStr">
        <is>
          <t>穀物類</t>
        </is>
      </c>
      <c r="E13" s="9" t="n">
        <v>379</v>
      </c>
      <c r="F13" s="9" t="n">
        <v>12.1</v>
      </c>
      <c r="G13" s="9" t="n">
        <v>6.7</v>
      </c>
      <c r="H13" s="9" t="n">
        <v>0.9</v>
      </c>
      <c r="I13" s="9" t="n">
        <v>0</v>
      </c>
      <c r="J13" s="9" t="n">
        <v>66.8</v>
      </c>
      <c r="K13" s="9" t="n">
        <v>1.6</v>
      </c>
      <c r="L13" s="9" t="n">
        <v>2</v>
      </c>
      <c r="M13" s="8" t="inlineStr">
        <is>
          <t>食品營養成分資料庫 A1100101</t>
        </is>
      </c>
    </row>
    <row r="14">
      <c r="A14" s="8" t="inlineStr">
        <is>
          <t>台灣藜(紅)(帶殼)</t>
        </is>
      </c>
      <c r="B14" s="8" t="inlineStr">
        <is>
          <t>藜、赤藜、紫藜、紅心藜、紅藜、食用藜</t>
        </is>
      </c>
      <c r="C14" s="8" t="inlineStr">
        <is>
          <t>生,帶殼</t>
        </is>
      </c>
      <c r="D14" s="8" t="inlineStr">
        <is>
          <t>穀物類</t>
        </is>
      </c>
      <c r="E14" s="9" t="n">
        <v>386</v>
      </c>
      <c r="F14" s="9" t="n">
        <v>14.9</v>
      </c>
      <c r="G14" s="9" t="n">
        <v>8.5</v>
      </c>
      <c r="H14" s="9" t="n">
        <v>1.4</v>
      </c>
      <c r="I14" s="9" t="n">
        <v>0.01347</v>
      </c>
      <c r="J14" s="9" t="n">
        <v>62.3</v>
      </c>
      <c r="K14" s="9" t="n">
        <v>2.8</v>
      </c>
      <c r="L14" s="9" t="n">
        <v>1</v>
      </c>
      <c r="M14" s="8" t="inlineStr">
        <is>
          <t>食品營養成分資料庫 A1100201</t>
        </is>
      </c>
    </row>
    <row r="15">
      <c r="A15" s="8" t="inlineStr">
        <is>
          <t>玉米澱粉</t>
        </is>
      </c>
      <c r="B15" s="8" t="inlineStr">
        <is>
          <t>玉米粉、粟粉、cornstarch</t>
        </is>
      </c>
      <c r="C15" s="8" t="n"/>
      <c r="D15" s="8" t="inlineStr">
        <is>
          <t>澱粉類</t>
        </is>
      </c>
      <c r="E15" s="9" t="n">
        <v>375</v>
      </c>
      <c r="F15" s="9" t="n">
        <v>0</v>
      </c>
      <c r="G15" s="9" t="n">
        <v>0</v>
      </c>
      <c r="H15" s="9" t="n">
        <v>0</v>
      </c>
      <c r="I15" s="9" t="n">
        <v>0</v>
      </c>
      <c r="J15" s="9" t="n">
        <v>87.5</v>
      </c>
      <c r="K15" s="9" t="n">
        <v>0</v>
      </c>
      <c r="L15" s="9" t="n">
        <v>0</v>
      </c>
      <c r="M15" s="8" t="inlineStr">
        <is>
          <t>USDA FoodData Central Branded Foods（原廠包裝標示，2026-04 快照）；FDC 2671891</t>
        </is>
      </c>
    </row>
    <row r="16">
      <c r="A16" s="8" t="inlineStr">
        <is>
          <t>山藥平均值</t>
        </is>
      </c>
      <c r="B16" s="8" t="inlineStr">
        <is>
          <t>山芋、山薯、田薯、薯蕷、長薯、淮山(加工後)</t>
        </is>
      </c>
      <c r="C16" s="8" t="inlineStr">
        <is>
          <t>生</t>
        </is>
      </c>
      <c r="D16" s="8" t="inlineStr">
        <is>
          <t>澱粉類</t>
        </is>
      </c>
      <c r="E16" s="9" t="n">
        <v>85</v>
      </c>
      <c r="F16" s="9" t="n">
        <v>2.8</v>
      </c>
      <c r="G16" s="9" t="n">
        <v>0.1</v>
      </c>
      <c r="H16" s="9" t="n">
        <v>0.1</v>
      </c>
      <c r="I16" s="9" t="n">
        <v>0</v>
      </c>
      <c r="J16" s="9" t="n">
        <v>17.8</v>
      </c>
      <c r="K16" s="9" t="n">
        <v>0.3</v>
      </c>
      <c r="L16" s="9" t="n">
        <v>4</v>
      </c>
      <c r="M16" s="8" t="inlineStr">
        <is>
          <t>食品營養成分資料庫 B01002</t>
        </is>
      </c>
    </row>
    <row r="17">
      <c r="A17" s="8" t="inlineStr">
        <is>
          <t>山藥(白肉)</t>
        </is>
      </c>
      <c r="B17" s="8" t="inlineStr">
        <is>
          <t>日本山藥</t>
        </is>
      </c>
      <c r="C17" s="8" t="inlineStr">
        <is>
          <t>生</t>
        </is>
      </c>
      <c r="D17" s="8" t="inlineStr">
        <is>
          <t>澱粉類</t>
        </is>
      </c>
      <c r="E17" s="9" t="n">
        <v>69</v>
      </c>
      <c r="F17" s="9" t="n">
        <v>2.1</v>
      </c>
      <c r="G17" s="9" t="n">
        <v>0.1</v>
      </c>
      <c r="H17" s="9" t="n">
        <v>0.1</v>
      </c>
      <c r="I17" s="9" t="n">
        <v>0</v>
      </c>
      <c r="J17" s="9" t="n">
        <v>14.4</v>
      </c>
      <c r="K17" s="9" t="n">
        <v>0.3</v>
      </c>
      <c r="L17" s="9" t="n">
        <v>1</v>
      </c>
      <c r="M17" s="8" t="inlineStr">
        <is>
          <t>食品營養成分資料庫 B0100214</t>
        </is>
      </c>
    </row>
    <row r="18">
      <c r="A18" s="8" t="inlineStr">
        <is>
          <t>檳榔心芋(2021年取樣)</t>
        </is>
      </c>
      <c r="B18" s="8" t="inlineStr">
        <is>
          <t>芋頭、芋艿、芋乃、芋仔、青芋、土芝</t>
        </is>
      </c>
      <c r="C18" s="8" t="inlineStr">
        <is>
          <t>生</t>
        </is>
      </c>
      <c r="D18" s="8" t="inlineStr">
        <is>
          <t>澱粉類</t>
        </is>
      </c>
      <c r="E18" s="9" t="n">
        <v>107</v>
      </c>
      <c r="F18" s="9" t="n">
        <v>1.1</v>
      </c>
      <c r="G18" s="9" t="n">
        <v>0</v>
      </c>
      <c r="H18" s="9" t="n">
        <v>0</v>
      </c>
      <c r="I18" s="9" t="n">
        <v>0</v>
      </c>
      <c r="J18" s="9" t="n">
        <v>24.8</v>
      </c>
      <c r="K18" s="9" t="n">
        <v>1.6</v>
      </c>
      <c r="L18" s="9" t="n">
        <v>0</v>
      </c>
      <c r="M18" s="8" t="inlineStr">
        <is>
          <t>食品營養成分資料庫 B0500302</t>
        </is>
      </c>
    </row>
    <row r="19">
      <c r="A19" s="8" t="inlineStr">
        <is>
          <t>馬鈴薯(2022年取樣)</t>
        </is>
      </c>
      <c r="B19" s="8" t="inlineStr">
        <is>
          <t>洋芋、洋薯、洋山芋、荷蘭薯、日本番薯、塊茄</t>
        </is>
      </c>
      <c r="C19" s="8" t="inlineStr">
        <is>
          <t>生,黃皮種</t>
        </is>
      </c>
      <c r="D19" s="8" t="inlineStr">
        <is>
          <t>澱粉類</t>
        </is>
      </c>
      <c r="E19" s="9" t="n">
        <v>70</v>
      </c>
      <c r="F19" s="9" t="n">
        <v>2.3</v>
      </c>
      <c r="G19" s="9" t="n">
        <v>0</v>
      </c>
      <c r="H19" s="9" t="n">
        <v>0</v>
      </c>
      <c r="I19" s="9" t="n">
        <v>0</v>
      </c>
      <c r="J19" s="9" t="n">
        <v>14.9</v>
      </c>
      <c r="K19" s="9" t="n">
        <v>0.4</v>
      </c>
      <c r="L19" s="9" t="n">
        <v>2</v>
      </c>
      <c r="M19" s="8" t="inlineStr">
        <is>
          <t>食品營養成分資料庫 B0700202</t>
        </is>
      </c>
    </row>
    <row r="20">
      <c r="A20" s="8" t="inlineStr">
        <is>
          <t>二砂(淺色黃糖)</t>
        </is>
      </c>
      <c r="B20" s="8" t="inlineStr">
        <is>
          <t>二砂、黃砂糖、淺色紅糖</t>
        </is>
      </c>
      <c r="C20" s="8" t="n"/>
      <c r="D20" s="8" t="inlineStr">
        <is>
          <t>糖類</t>
        </is>
      </c>
      <c r="E20" s="9" t="n">
        <v>375</v>
      </c>
      <c r="F20" s="9" t="n">
        <v>0</v>
      </c>
      <c r="G20" s="9" t="n">
        <v>0</v>
      </c>
      <c r="H20" s="9" t="n">
        <v>0</v>
      </c>
      <c r="I20" s="9" t="n">
        <v>0</v>
      </c>
      <c r="J20" s="9" t="n">
        <v>100</v>
      </c>
      <c r="K20" s="9" t="n">
        <v>100</v>
      </c>
      <c r="L20" s="9" t="n">
        <v>0</v>
      </c>
      <c r="M20" s="8" t="inlineStr">
        <is>
          <t>USDA FoodData Central Branded Foods（原廠包裝標示，2026-04 快照）；FDC 1855717</t>
        </is>
      </c>
    </row>
    <row r="21">
      <c r="A21" s="8" t="inlineStr">
        <is>
          <t>大麥麥芽糖漿</t>
        </is>
      </c>
      <c r="B21" s="8" t="inlineStr">
        <is>
          <t>麥芽糖漿、麥芽、大麥糖漿</t>
        </is>
      </c>
      <c r="C21" s="8" t="n"/>
      <c r="D21" s="8" t="inlineStr">
        <is>
          <t>糖類</t>
        </is>
      </c>
      <c r="E21" s="9" t="n">
        <v>286</v>
      </c>
      <c r="F21" s="9" t="n">
        <v>4.76</v>
      </c>
      <c r="G21" s="9" t="n">
        <v>0</v>
      </c>
      <c r="H21" s="9" t="n">
        <v>0</v>
      </c>
      <c r="I21" s="9" t="n">
        <v>0</v>
      </c>
      <c r="J21" s="9" t="n">
        <v>66.7</v>
      </c>
      <c r="K21" s="9" t="n">
        <v>38.1</v>
      </c>
      <c r="L21" s="9" t="n">
        <v>0</v>
      </c>
      <c r="M21" s="8" t="inlineStr">
        <is>
          <t>USDA FoodData Central Branded Foods（原廠包裝標示，2026-04 快照）；FDC 1861283</t>
        </is>
      </c>
    </row>
    <row r="22">
      <c r="A22" s="8" t="inlineStr">
        <is>
          <t>蜂蜜</t>
        </is>
      </c>
      <c r="B22" s="8" t="inlineStr">
        <is>
          <t>純蜂蜜、冬蜜替代資料</t>
        </is>
      </c>
      <c r="C22" s="8" t="n"/>
      <c r="D22" s="8" t="inlineStr">
        <is>
          <t>糖類</t>
        </is>
      </c>
      <c r="E22" s="9" t="n">
        <v>286</v>
      </c>
      <c r="F22" s="9" t="n">
        <v>0</v>
      </c>
      <c r="G22" s="9" t="n">
        <v>0</v>
      </c>
      <c r="H22" s="9" t="n">
        <v>0</v>
      </c>
      <c r="I22" s="9" t="n">
        <v>0</v>
      </c>
      <c r="J22" s="9" t="n">
        <v>81</v>
      </c>
      <c r="K22" s="9" t="n">
        <v>81</v>
      </c>
      <c r="L22" s="9" t="n">
        <v>0</v>
      </c>
      <c r="M22" s="8" t="inlineStr">
        <is>
          <t>USDA FoodData Central Branded Foods（原廠包裝標示，2026-04 快照）；FDC 1887972</t>
        </is>
      </c>
    </row>
    <row r="23">
      <c r="A23" s="8" t="inlineStr">
        <is>
          <t>白砂糖</t>
        </is>
      </c>
      <c r="B23" s="8" t="inlineStr">
        <is>
          <t>砂糖、細砂糖、上白糖、方糖用砂糖</t>
        </is>
      </c>
      <c r="C23" s="8" t="n"/>
      <c r="D23" s="8" t="inlineStr">
        <is>
          <t>糖類</t>
        </is>
      </c>
      <c r="E23" s="9" t="n">
        <v>375</v>
      </c>
      <c r="F23" s="9" t="n">
        <v>0</v>
      </c>
      <c r="G23" s="9" t="n">
        <v>0</v>
      </c>
      <c r="H23" s="9" t="n">
        <v>0</v>
      </c>
      <c r="I23" s="9" t="n">
        <v>0</v>
      </c>
      <c r="J23" s="9" t="n">
        <v>100</v>
      </c>
      <c r="K23" s="9" t="n">
        <v>100</v>
      </c>
      <c r="L23" s="9" t="n">
        <v>0</v>
      </c>
      <c r="M23" s="8" t="inlineStr">
        <is>
          <t>USDA FoodData Central Branded Foods（原廠包裝標示，2026-04 快照）；FDC 1919340</t>
        </is>
      </c>
    </row>
    <row r="24">
      <c r="A24" s="8" t="inlineStr">
        <is>
          <t>糖粉</t>
        </is>
      </c>
      <c r="B24" s="8" t="inlineStr">
        <is>
          <t>粉糖、糖霜用糖粉</t>
        </is>
      </c>
      <c r="C24" s="8" t="n"/>
      <c r="D24" s="8" t="inlineStr">
        <is>
          <t>糖類</t>
        </is>
      </c>
      <c r="E24" s="9" t="n">
        <v>400</v>
      </c>
      <c r="F24" s="9" t="n">
        <v>0</v>
      </c>
      <c r="G24" s="9" t="n">
        <v>0</v>
      </c>
      <c r="H24" s="9" t="n">
        <v>0</v>
      </c>
      <c r="I24" s="9" t="n">
        <v>0</v>
      </c>
      <c r="J24" s="9" t="n">
        <v>100</v>
      </c>
      <c r="K24" s="9" t="n">
        <v>96.7</v>
      </c>
      <c r="L24" s="9" t="n">
        <v>0</v>
      </c>
      <c r="M24" s="8" t="inlineStr">
        <is>
          <t>USDA FoodData Central Branded Foods（原廠包裝標示，2026-04 快照）；FDC 2504894</t>
        </is>
      </c>
    </row>
    <row r="25">
      <c r="A25" s="8" t="inlineStr">
        <is>
          <t>紅砂糖</t>
        </is>
      </c>
      <c r="B25" s="8" t="inlineStr">
        <is>
          <t>紅糖、二砂糖</t>
        </is>
      </c>
      <c r="C25" s="8" t="n"/>
      <c r="D25" s="8" t="inlineStr">
        <is>
          <t>糖類</t>
        </is>
      </c>
      <c r="E25" s="9" t="n">
        <v>384</v>
      </c>
      <c r="F25" s="9" t="n">
        <v>0</v>
      </c>
      <c r="G25" s="9" t="n">
        <v>0.5</v>
      </c>
      <c r="H25" s="9" t="n">
        <v>0</v>
      </c>
      <c r="I25" s="9" t="n">
        <v>0</v>
      </c>
      <c r="J25" s="9" t="n">
        <v>99.3</v>
      </c>
      <c r="K25" s="9" t="n">
        <v>96.3</v>
      </c>
      <c r="L25" s="9" t="n">
        <v>1</v>
      </c>
      <c r="M25" s="8" t="inlineStr">
        <is>
          <t>食品營養成分資料庫 N0100301</t>
        </is>
      </c>
    </row>
    <row r="26">
      <c r="A26" s="8" t="inlineStr">
        <is>
          <t>黑砂糖</t>
        </is>
      </c>
      <c r="B26" s="8" t="inlineStr">
        <is>
          <t>黑糖</t>
        </is>
      </c>
      <c r="C26" s="8" t="n"/>
      <c r="D26" s="8" t="inlineStr">
        <is>
          <t>糖類</t>
        </is>
      </c>
      <c r="E26" s="9" t="n">
        <v>369</v>
      </c>
      <c r="F26" s="9" t="n">
        <v>0.5</v>
      </c>
      <c r="G26" s="9" t="n">
        <v>0.7</v>
      </c>
      <c r="H26" s="9" t="n">
        <v>0.3</v>
      </c>
      <c r="I26" s="9" t="n">
        <v>0</v>
      </c>
      <c r="J26" s="9" t="n">
        <v>95.3</v>
      </c>
      <c r="K26" s="9" t="n">
        <v>86.09999999999999</v>
      </c>
      <c r="L26" s="9" t="n">
        <v>10</v>
      </c>
      <c r="M26" s="8" t="inlineStr">
        <is>
          <t>食品營養成分資料庫 N0100401</t>
        </is>
      </c>
    </row>
    <row r="27">
      <c r="A27" s="8" t="inlineStr">
        <is>
          <t>葵花籽油</t>
        </is>
      </c>
      <c r="B27" s="8" t="inlineStr">
        <is>
          <t>葵花油</t>
        </is>
      </c>
      <c r="C27" s="8" t="n"/>
      <c r="D27" s="8" t="inlineStr">
        <is>
          <t>油脂類</t>
        </is>
      </c>
      <c r="E27" s="9" t="n">
        <v>857</v>
      </c>
      <c r="F27" s="9" t="n">
        <v>0</v>
      </c>
      <c r="G27" s="9" t="n">
        <v>100</v>
      </c>
      <c r="H27" s="9" t="n">
        <v>10.7</v>
      </c>
      <c r="I27" s="9" t="n">
        <v>0</v>
      </c>
      <c r="J27" s="9" t="n">
        <v>0</v>
      </c>
      <c r="K27" s="9" t="n">
        <v>0</v>
      </c>
      <c r="L27" s="9" t="n">
        <v>0</v>
      </c>
      <c r="M27" s="8" t="inlineStr">
        <is>
          <t>USDA FoodData Central Branded Foods（原廠包裝標示，2026-04 快照）；FDC 1861148</t>
        </is>
      </c>
    </row>
    <row r="28">
      <c r="A28" s="8" t="inlineStr">
        <is>
          <t>無鹽奶油</t>
        </is>
      </c>
      <c r="B28" s="8" t="inlineStr">
        <is>
          <t>奶油(不加鹽)、無鹽牛油</t>
        </is>
      </c>
      <c r="C28" s="8" t="n"/>
      <c r="D28" s="8" t="inlineStr">
        <is>
          <t>油脂類</t>
        </is>
      </c>
      <c r="E28" s="9" t="n">
        <v>714</v>
      </c>
      <c r="F28" s="9" t="n">
        <v>0</v>
      </c>
      <c r="G28" s="9" t="n">
        <v>78.59999999999999</v>
      </c>
      <c r="H28" s="9" t="n">
        <v>50</v>
      </c>
      <c r="I28" s="9" t="n">
        <v>0</v>
      </c>
      <c r="J28" s="9" t="n">
        <v>0</v>
      </c>
      <c r="K28" s="9" t="n">
        <v>0</v>
      </c>
      <c r="L28" s="9" t="n">
        <v>0</v>
      </c>
      <c r="M28" s="8" t="inlineStr">
        <is>
          <t>USDA FoodData Central Branded Foods（原廠包裝標示，2026-04 快照）；FDC 2406122</t>
        </is>
      </c>
    </row>
    <row r="29">
      <c r="A29" s="8" t="inlineStr">
        <is>
          <t>大豆油</t>
        </is>
      </c>
      <c r="B29" s="8" t="inlineStr">
        <is>
          <t>黃豆油</t>
        </is>
      </c>
      <c r="C29" s="8" t="n"/>
      <c r="D29" s="8" t="inlineStr">
        <is>
          <t>油脂類</t>
        </is>
      </c>
      <c r="E29" s="9" t="n">
        <v>857</v>
      </c>
      <c r="F29" s="9" t="n">
        <v>0</v>
      </c>
      <c r="G29" s="9" t="n">
        <v>100</v>
      </c>
      <c r="H29" s="9" t="n">
        <v>14.3</v>
      </c>
      <c r="I29" s="9" t="n">
        <v>0</v>
      </c>
      <c r="J29" s="9" t="n">
        <v>0</v>
      </c>
      <c r="K29" s="9" t="n">
        <v>0</v>
      </c>
      <c r="L29" s="9" t="n">
        <v>0</v>
      </c>
      <c r="M29" s="8" t="inlineStr">
        <is>
          <t>USDA FoodData Central Branded Foods（原廠包裝標示，2026-04 快照）；FDC 2425628</t>
        </is>
      </c>
    </row>
    <row r="30">
      <c r="A30" s="8" t="inlineStr">
        <is>
          <t>橄欖油</t>
        </is>
      </c>
      <c r="B30" s="8" t="n"/>
      <c r="C30" s="8" t="n"/>
      <c r="D30" s="8" t="inlineStr">
        <is>
          <t>油脂類</t>
        </is>
      </c>
      <c r="E30" s="9" t="n">
        <v>800</v>
      </c>
      <c r="F30" s="9" t="n">
        <v>0</v>
      </c>
      <c r="G30" s="9" t="n">
        <v>93.3</v>
      </c>
      <c r="H30" s="9" t="n">
        <v>13.3</v>
      </c>
      <c r="I30" s="9" t="n">
        <v>0</v>
      </c>
      <c r="J30" s="9" t="n">
        <v>0</v>
      </c>
      <c r="K30" s="9" t="n">
        <v>0</v>
      </c>
      <c r="L30" s="9" t="n">
        <v>0</v>
      </c>
      <c r="M30" s="8" t="inlineStr">
        <is>
          <t>USDA FoodData Central Branded Foods（原廠包裝標示，2026-04 快照）；FDC 2422855</t>
        </is>
      </c>
    </row>
    <row r="31">
      <c r="A31" s="8" t="inlineStr">
        <is>
          <t>棕櫚油</t>
        </is>
      </c>
      <c r="B31" s="8" t="inlineStr">
        <is>
          <t>紅棕櫚油</t>
        </is>
      </c>
      <c r="C31" s="8" t="n"/>
      <c r="D31" s="8" t="inlineStr">
        <is>
          <t>油脂類</t>
        </is>
      </c>
      <c r="E31" s="9" t="n">
        <v>900</v>
      </c>
      <c r="F31" s="9" t="n">
        <v>0</v>
      </c>
      <c r="G31" s="9" t="n">
        <v>100</v>
      </c>
      <c r="H31" s="9" t="n">
        <v>57.1</v>
      </c>
      <c r="I31" s="9" t="n">
        <v>0</v>
      </c>
      <c r="J31" s="9" t="n">
        <v>0</v>
      </c>
      <c r="K31" s="9" t="n">
        <v>0</v>
      </c>
      <c r="L31" s="9" t="n">
        <v>0</v>
      </c>
      <c r="M31" s="8" t="inlineStr">
        <is>
          <t>USDA FoodData Central Branded Foods（原廠包裝標示，2026-04 快照）；FDC 1859344</t>
        </is>
      </c>
    </row>
    <row r="32">
      <c r="A32" s="8" t="inlineStr">
        <is>
          <t>豬油(2022年取樣)</t>
        </is>
      </c>
      <c r="B32" s="8" t="n"/>
      <c r="C32" s="8" t="n"/>
      <c r="D32" s="8" t="inlineStr">
        <is>
          <t>油脂類</t>
        </is>
      </c>
      <c r="E32" s="9" t="n">
        <v>892</v>
      </c>
      <c r="F32" s="9" t="n">
        <v>0</v>
      </c>
      <c r="G32" s="9" t="n">
        <v>99.90000000000001</v>
      </c>
      <c r="H32" s="9" t="n">
        <v>38.2</v>
      </c>
      <c r="I32" s="9" t="n">
        <v>0.3685</v>
      </c>
      <c r="J32" s="9" t="n">
        <v>0</v>
      </c>
      <c r="K32" s="9" t="n">
        <v>0</v>
      </c>
      <c r="L32" s="9" t="n">
        <v>1</v>
      </c>
      <c r="M32" s="8" t="inlineStr">
        <is>
          <t>食品營養成分資料庫 M0200102</t>
        </is>
      </c>
    </row>
    <row r="33">
      <c r="A33" s="8" t="inlineStr">
        <is>
          <t>人造奶油(2021年取樣)</t>
        </is>
      </c>
      <c r="B33" s="8" t="inlineStr">
        <is>
          <t>乳瑪琳</t>
        </is>
      </c>
      <c r="C33" s="8" t="inlineStr">
        <is>
          <t>食用油脂(棕櫚油,無水奶油,大豆油,硬質棕油),食鹽等</t>
        </is>
      </c>
      <c r="D33" s="8" t="inlineStr">
        <is>
          <t>油脂類</t>
        </is>
      </c>
      <c r="E33" s="9" t="n">
        <v>722</v>
      </c>
      <c r="F33" s="9" t="n">
        <v>0.1</v>
      </c>
      <c r="G33" s="9" t="n">
        <v>81.7</v>
      </c>
      <c r="H33" s="9" t="n">
        <v>43.4</v>
      </c>
      <c r="I33" s="9" t="n">
        <v>0.7632</v>
      </c>
      <c r="J33" s="9" t="n">
        <v>1.7</v>
      </c>
      <c r="K33" s="9" t="n">
        <v>0.2</v>
      </c>
      <c r="L33" s="9" t="n">
        <v>553</v>
      </c>
      <c r="M33" s="8" t="inlineStr">
        <is>
          <t>食品營養成分資料庫 M1000102</t>
        </is>
      </c>
    </row>
    <row r="34">
      <c r="A34" s="8" t="inlineStr">
        <is>
          <t>全脂奶粉</t>
        </is>
      </c>
      <c r="B34" s="8" t="inlineStr">
        <is>
          <t>奶粉、全脂乳粉</t>
        </is>
      </c>
      <c r="C34" s="8" t="n"/>
      <c r="D34" s="8" t="inlineStr">
        <is>
          <t>乳品類</t>
        </is>
      </c>
      <c r="E34" s="9" t="n">
        <v>500</v>
      </c>
      <c r="F34" s="9" t="n">
        <v>20</v>
      </c>
      <c r="G34" s="9" t="n">
        <v>30</v>
      </c>
      <c r="H34" s="9" t="n">
        <v>20</v>
      </c>
      <c r="I34" s="9" t="n">
        <v>0</v>
      </c>
      <c r="J34" s="9" t="n">
        <v>40</v>
      </c>
      <c r="K34" s="9" t="n">
        <v>40</v>
      </c>
      <c r="L34" s="9" t="n">
        <v>300</v>
      </c>
      <c r="M34" s="8" t="inlineStr">
        <is>
          <t>USDA FoodData Central Branded Foods（原廠包裝標示，2026-04 快照）；FDC 2031060</t>
        </is>
      </c>
    </row>
    <row r="35">
      <c r="A35" s="8" t="inlineStr">
        <is>
          <t>奶油乳酪</t>
        </is>
      </c>
      <c r="B35" s="8" t="inlineStr">
        <is>
          <t>奶油起司、忌司</t>
        </is>
      </c>
      <c r="C35" s="8" t="n"/>
      <c r="D35" s="8" t="inlineStr">
        <is>
          <t>乳品類</t>
        </is>
      </c>
      <c r="E35" s="9" t="n">
        <v>350</v>
      </c>
      <c r="F35" s="9" t="n">
        <v>6.15</v>
      </c>
      <c r="G35" s="9" t="n">
        <v>34.4</v>
      </c>
      <c r="H35" s="9" t="n">
        <v>20.2</v>
      </c>
      <c r="I35" s="9" t="n">
        <v>1.17</v>
      </c>
      <c r="J35" s="9" t="n">
        <v>5.52</v>
      </c>
      <c r="K35" s="9" t="n">
        <v>3.76</v>
      </c>
      <c r="L35" s="9" t="n">
        <v>314</v>
      </c>
      <c r="M35" s="8" t="inlineStr">
        <is>
          <t>USDA FoodData Central SR Legacy（2018-04 官方快照）；FDC 173418</t>
        </is>
      </c>
    </row>
    <row r="36">
      <c r="A36" s="8" t="inlineStr">
        <is>
          <t>全脂鮮乳平均值</t>
        </is>
      </c>
      <c r="B36" s="8" t="inlineStr">
        <is>
          <t>牛乳、牛奶</t>
        </is>
      </c>
      <c r="C36" s="8" t="inlineStr">
        <is>
          <t>全脂(3.0-3.8%)鮮乳</t>
        </is>
      </c>
      <c r="D36" s="8" t="inlineStr">
        <is>
          <t>乳品類</t>
        </is>
      </c>
      <c r="E36" s="9" t="n">
        <v>63</v>
      </c>
      <c r="F36" s="9" t="n">
        <v>3.1</v>
      </c>
      <c r="G36" s="9" t="n">
        <v>3.6</v>
      </c>
      <c r="H36" s="9" t="n">
        <v>2.5</v>
      </c>
      <c r="I36" s="9" t="n">
        <v>0.0921</v>
      </c>
      <c r="J36" s="9" t="n">
        <v>4.8</v>
      </c>
      <c r="K36" s="9" t="n">
        <v>4.4</v>
      </c>
      <c r="L36" s="9" t="n">
        <v>37</v>
      </c>
      <c r="M36" s="8" t="inlineStr">
        <is>
          <t>食品營養成分資料庫 L01021</t>
        </is>
      </c>
    </row>
    <row r="37">
      <c r="A37" s="8" t="inlineStr">
        <is>
          <t>高脂鮮乳</t>
        </is>
      </c>
      <c r="B37" s="8" t="inlineStr">
        <is>
          <t>牛乳、牛奶</t>
        </is>
      </c>
      <c r="C37" s="8" t="inlineStr">
        <is>
          <t>高脂(≧3.8%)鮮乳</t>
        </is>
      </c>
      <c r="D37" s="8" t="inlineStr">
        <is>
          <t>乳品類</t>
        </is>
      </c>
      <c r="E37" s="9" t="n">
        <v>73</v>
      </c>
      <c r="F37" s="9" t="n">
        <v>3.2</v>
      </c>
      <c r="G37" s="9" t="n">
        <v>4</v>
      </c>
      <c r="H37" s="9" t="n">
        <v>2.7</v>
      </c>
      <c r="I37" s="9" t="n">
        <v>0.10497</v>
      </c>
      <c r="J37" s="9" t="n">
        <v>6.1</v>
      </c>
      <c r="K37" s="9" t="n">
        <v>5</v>
      </c>
      <c r="L37" s="9" t="n">
        <v>39</v>
      </c>
      <c r="M37" s="8" t="inlineStr">
        <is>
          <t>食品營養成分資料庫 L0100101</t>
        </is>
      </c>
    </row>
    <row r="38">
      <c r="A38" s="8" t="inlineStr">
        <is>
          <t>低脂鮮乳</t>
        </is>
      </c>
      <c r="B38" s="8" t="inlineStr">
        <is>
          <t>牛乳、牛奶</t>
        </is>
      </c>
      <c r="C38" s="8" t="inlineStr">
        <is>
          <t>低脂(0.5-1.5%)鮮乳</t>
        </is>
      </c>
      <c r="D38" s="8" t="inlineStr">
        <is>
          <t>乳品類</t>
        </is>
      </c>
      <c r="E38" s="9" t="n">
        <v>43</v>
      </c>
      <c r="F38" s="9" t="n">
        <v>3.3</v>
      </c>
      <c r="G38" s="9" t="n">
        <v>1.1</v>
      </c>
      <c r="H38" s="9" t="n">
        <v>0.7</v>
      </c>
      <c r="I38" s="9" t="n">
        <v>0.02212</v>
      </c>
      <c r="J38" s="9" t="n">
        <v>5</v>
      </c>
      <c r="K38" s="9" t="n">
        <v>4.7</v>
      </c>
      <c r="L38" s="9" t="n">
        <v>28</v>
      </c>
      <c r="M38" s="8" t="inlineStr">
        <is>
          <t>食品營養成分資料庫 L0106101</t>
        </is>
      </c>
    </row>
    <row r="39">
      <c r="A39" s="8" t="inlineStr">
        <is>
          <t>中脂調味乳(鈣強化)</t>
        </is>
      </c>
      <c r="B39" s="8" t="inlineStr">
        <is>
          <t>牛乳、牛奶</t>
        </is>
      </c>
      <c r="C39" s="8" t="inlineStr">
        <is>
          <t>中脂(≧1.5%)調味乳</t>
        </is>
      </c>
      <c r="D39" s="8" t="inlineStr">
        <is>
          <t>乳品類</t>
        </is>
      </c>
      <c r="E39" s="9" t="n">
        <v>68</v>
      </c>
      <c r="F39" s="9" t="n">
        <v>2.3</v>
      </c>
      <c r="G39" s="9" t="n">
        <v>2.6</v>
      </c>
      <c r="H39" s="9" t="n">
        <v>1.8</v>
      </c>
      <c r="I39" s="9" t="n">
        <v>0.10686</v>
      </c>
      <c r="J39" s="9" t="n">
        <v>8.9</v>
      </c>
      <c r="K39" s="9" t="n">
        <v>4.1</v>
      </c>
      <c r="L39" s="9" t="n">
        <v>63</v>
      </c>
      <c r="M39" s="8" t="inlineStr">
        <is>
          <t>食品營養成分資料庫 L0124401</t>
        </is>
      </c>
    </row>
    <row r="40">
      <c r="A40" s="8" t="inlineStr">
        <is>
          <t>中脂調味乳(維生素強化)</t>
        </is>
      </c>
      <c r="B40" s="8" t="inlineStr">
        <is>
          <t>牛乳、牛奶</t>
        </is>
      </c>
      <c r="C40" s="8" t="inlineStr">
        <is>
          <t>中脂(≧1.5%)調味乳</t>
        </is>
      </c>
      <c r="D40" s="8" t="inlineStr">
        <is>
          <t>乳品類</t>
        </is>
      </c>
      <c r="E40" s="9" t="n">
        <v>60</v>
      </c>
      <c r="F40" s="9" t="n">
        <v>2</v>
      </c>
      <c r="G40" s="9" t="n">
        <v>1.9</v>
      </c>
      <c r="H40" s="9" t="n">
        <v>1.3</v>
      </c>
      <c r="I40" s="9" t="n">
        <v>0.05917</v>
      </c>
      <c r="J40" s="9" t="n">
        <v>8.6</v>
      </c>
      <c r="K40" s="9" t="n">
        <v>7.1</v>
      </c>
      <c r="L40" s="9" t="n">
        <v>30</v>
      </c>
      <c r="M40" s="8" t="inlineStr">
        <is>
          <t>食品營養成分資料庫 L0124501</t>
        </is>
      </c>
    </row>
    <row r="41">
      <c r="A41" s="8" t="inlineStr">
        <is>
          <t>低脂調味乳(木瓜)</t>
        </is>
      </c>
      <c r="B41" s="8" t="inlineStr">
        <is>
          <t>牛乳、牛奶</t>
        </is>
      </c>
      <c r="C41" s="8" t="inlineStr">
        <is>
          <t>低脂(0.5-1.5%)調味乳</t>
        </is>
      </c>
      <c r="D41" s="8" t="inlineStr">
        <is>
          <t>乳品類</t>
        </is>
      </c>
      <c r="E41" s="9" t="n">
        <v>61</v>
      </c>
      <c r="F41" s="9" t="n">
        <v>1.8</v>
      </c>
      <c r="G41" s="9" t="n">
        <v>1.3</v>
      </c>
      <c r="H41" s="9" t="n">
        <v>0.9</v>
      </c>
      <c r="I41" s="9" t="n">
        <v>0.04797</v>
      </c>
      <c r="J41" s="9" t="n">
        <v>10.5</v>
      </c>
      <c r="K41" s="9" t="n">
        <v>9.5</v>
      </c>
      <c r="L41" s="9" t="n">
        <v>58</v>
      </c>
      <c r="M41" s="8" t="inlineStr">
        <is>
          <t>食品營養成分資料庫 L0126101</t>
        </is>
      </c>
    </row>
    <row r="42">
      <c r="A42" s="8" t="inlineStr">
        <is>
          <t>全脂保久乳</t>
        </is>
      </c>
      <c r="B42" s="8" t="inlineStr">
        <is>
          <t>牛乳、牛奶</t>
        </is>
      </c>
      <c r="C42" s="8" t="inlineStr">
        <is>
          <t>全脂(3.0-3.8%)保久乳</t>
        </is>
      </c>
      <c r="D42" s="8" t="inlineStr">
        <is>
          <t>乳品類</t>
        </is>
      </c>
      <c r="E42" s="9" t="n">
        <v>62</v>
      </c>
      <c r="F42" s="9" t="n">
        <v>3</v>
      </c>
      <c r="G42" s="9" t="n">
        <v>3.4</v>
      </c>
      <c r="H42" s="9" t="n">
        <v>2.6</v>
      </c>
      <c r="I42" s="9" t="n">
        <v>0.09013</v>
      </c>
      <c r="J42" s="9" t="n">
        <v>5.1</v>
      </c>
      <c r="K42" s="9" t="n">
        <v>4.5</v>
      </c>
      <c r="L42" s="9" t="n">
        <v>55</v>
      </c>
      <c r="M42" s="8" t="inlineStr">
        <is>
          <t>食品營養成分資料庫 L0132101</t>
        </is>
      </c>
    </row>
    <row r="43">
      <c r="A43" s="8" t="inlineStr">
        <is>
          <t>部份脫脂奶粉</t>
        </is>
      </c>
      <c r="B43" s="8" t="inlineStr">
        <is>
          <t>乳粉</t>
        </is>
      </c>
      <c r="C43" s="8" t="inlineStr">
        <is>
          <t>部份脫脂(1.5-26%)奶粉</t>
        </is>
      </c>
      <c r="D43" s="8" t="inlineStr">
        <is>
          <t>乳品類</t>
        </is>
      </c>
      <c r="E43" s="9" t="n">
        <v>420</v>
      </c>
      <c r="F43" s="9" t="n">
        <v>32.8</v>
      </c>
      <c r="G43" s="9" t="n">
        <v>11.6</v>
      </c>
      <c r="H43" s="9" t="n">
        <v>8</v>
      </c>
      <c r="I43" s="9" t="n">
        <v>0.27124</v>
      </c>
      <c r="J43" s="9" t="n">
        <v>46.1</v>
      </c>
      <c r="K43" s="9" t="n">
        <v>44.7</v>
      </c>
      <c r="L43" s="9" t="n">
        <v>352</v>
      </c>
      <c r="M43" s="8" t="inlineStr">
        <is>
          <t>食品營養成分資料庫 L0204101</t>
        </is>
      </c>
    </row>
    <row r="44">
      <c r="A44" s="8" t="inlineStr">
        <is>
          <t>脫脂奶粉(即溶)</t>
        </is>
      </c>
      <c r="B44" s="8" t="inlineStr">
        <is>
          <t>乳粉</t>
        </is>
      </c>
      <c r="C44" s="8" t="inlineStr">
        <is>
          <t>脫脂(&lt;1.5%)奶粉</t>
        </is>
      </c>
      <c r="D44" s="8" t="inlineStr">
        <is>
          <t>乳品類</t>
        </is>
      </c>
      <c r="E44" s="9" t="n">
        <v>360</v>
      </c>
      <c r="F44" s="9" t="n">
        <v>38</v>
      </c>
      <c r="G44" s="9" t="n">
        <v>1</v>
      </c>
      <c r="H44" s="9" t="n">
        <v>0.7</v>
      </c>
      <c r="I44" s="9" t="n">
        <v>0.01346</v>
      </c>
      <c r="J44" s="9" t="n">
        <v>48.8</v>
      </c>
      <c r="K44" s="9" t="n">
        <v>34.2</v>
      </c>
      <c r="L44" s="9" t="n">
        <v>435</v>
      </c>
      <c r="M44" s="8" t="inlineStr">
        <is>
          <t>食品營養成分資料庫 L0207201</t>
        </is>
      </c>
    </row>
    <row r="45">
      <c r="A45" s="8" t="inlineStr">
        <is>
          <t>部份脫脂強化奶粉(纖維&amp;鈣強化)</t>
        </is>
      </c>
      <c r="B45" s="8" t="inlineStr">
        <is>
          <t>乳粉</t>
        </is>
      </c>
      <c r="C45" s="8" t="inlineStr">
        <is>
          <t>部份脫脂(1.5-26%)強化奶粉(部份脫脂奶粉,菊芋粉等)</t>
        </is>
      </c>
      <c r="D45" s="8" t="inlineStr">
        <is>
          <t>乳品類</t>
        </is>
      </c>
      <c r="E45" s="9" t="n">
        <v>375</v>
      </c>
      <c r="F45" s="9" t="n">
        <v>35.9</v>
      </c>
      <c r="G45" s="9" t="n">
        <v>3.7</v>
      </c>
      <c r="H45" s="9" t="n">
        <v>2.6</v>
      </c>
      <c r="I45" s="9" t="n">
        <v>0.18817</v>
      </c>
      <c r="J45" s="9" t="n">
        <v>48.9</v>
      </c>
      <c r="K45" s="9" t="n">
        <v>30.2</v>
      </c>
      <c r="L45" s="9" t="n">
        <v>412</v>
      </c>
      <c r="M45" s="8" t="inlineStr">
        <is>
          <t>食品營養成分資料庫 L0214301</t>
        </is>
      </c>
    </row>
    <row r="46">
      <c r="A46" s="8" t="inlineStr">
        <is>
          <t>脫脂強化奶粉(鈣&amp;維生素A強化)</t>
        </is>
      </c>
      <c r="B46" s="8" t="inlineStr">
        <is>
          <t>乳粉</t>
        </is>
      </c>
      <c r="C46" s="8" t="inlineStr">
        <is>
          <t>脫脂(&lt;1.5%)強化奶粉</t>
        </is>
      </c>
      <c r="D46" s="8" t="inlineStr">
        <is>
          <t>乳品類</t>
        </is>
      </c>
      <c r="E46" s="9" t="n">
        <v>360</v>
      </c>
      <c r="F46" s="9" t="n">
        <v>38</v>
      </c>
      <c r="G46" s="9" t="n">
        <v>1</v>
      </c>
      <c r="H46" s="9" t="n">
        <v>0.7</v>
      </c>
      <c r="I46" s="9" t="n">
        <v>0.009719999999999999</v>
      </c>
      <c r="J46" s="9" t="n">
        <v>48.8</v>
      </c>
      <c r="K46" s="9" t="n">
        <v>33.8</v>
      </c>
      <c r="L46" s="9" t="n">
        <v>387</v>
      </c>
      <c r="M46" s="8" t="inlineStr">
        <is>
          <t>食品營養成分資料庫 L0217201</t>
        </is>
      </c>
    </row>
    <row r="47">
      <c r="A47" s="8" t="inlineStr">
        <is>
          <t>脫脂強化奶粉(鈣&amp;鐵強化)</t>
        </is>
      </c>
      <c r="B47" s="8" t="inlineStr">
        <is>
          <t>乳粉</t>
        </is>
      </c>
      <c r="C47" s="8" t="inlineStr">
        <is>
          <t>脫脂(&lt;1.5%)強化奶粉(脫脂奶粉,維生素,礦物質等)</t>
        </is>
      </c>
      <c r="D47" s="8" t="inlineStr">
        <is>
          <t>乳品類</t>
        </is>
      </c>
      <c r="E47" s="9" t="n">
        <v>360</v>
      </c>
      <c r="F47" s="9" t="n">
        <v>35.6</v>
      </c>
      <c r="G47" s="9" t="n">
        <v>0.7</v>
      </c>
      <c r="H47" s="9" t="n">
        <v>0.5</v>
      </c>
      <c r="I47" s="9" t="n">
        <v>0.01296</v>
      </c>
      <c r="J47" s="9" t="n">
        <v>52.3</v>
      </c>
      <c r="K47" s="9" t="n">
        <v>33.2</v>
      </c>
      <c r="L47" s="9" t="n">
        <v>416</v>
      </c>
      <c r="M47" s="8" t="inlineStr">
        <is>
          <t>食品營養成分資料庫 L0217401</t>
        </is>
      </c>
    </row>
    <row r="48">
      <c r="A48" s="8" t="inlineStr">
        <is>
          <t>部份脫脂調味奶粉(果汁)</t>
        </is>
      </c>
      <c r="B48" s="8" t="inlineStr">
        <is>
          <t>乳粉</t>
        </is>
      </c>
      <c r="C48" s="8" t="inlineStr">
        <is>
          <t>部份脫脂(1.5-26%)調味奶粉(奶粉,乳糖,果汁粉等)</t>
        </is>
      </c>
      <c r="D48" s="8" t="inlineStr">
        <is>
          <t>乳品類</t>
        </is>
      </c>
      <c r="E48" s="9" t="n">
        <v>435</v>
      </c>
      <c r="F48" s="9" t="n">
        <v>19.8</v>
      </c>
      <c r="G48" s="9" t="n">
        <v>12.3</v>
      </c>
      <c r="H48" s="9" t="n">
        <v>9.199999999999999</v>
      </c>
      <c r="I48" s="9" t="n">
        <v>0.32398</v>
      </c>
      <c r="J48" s="9" t="n">
        <v>61.4</v>
      </c>
      <c r="K48" s="9" t="n">
        <v>56.9</v>
      </c>
      <c r="L48" s="9" t="n">
        <v>208</v>
      </c>
      <c r="M48" s="8" t="inlineStr">
        <is>
          <t>食品營養成分資料庫 L0224201</t>
        </is>
      </c>
    </row>
    <row r="49">
      <c r="A49" s="8" t="inlineStr">
        <is>
          <t>脫脂濃稠發酵乳(草莓)</t>
        </is>
      </c>
      <c r="B49" s="8" t="inlineStr">
        <is>
          <t>優酪乳</t>
        </is>
      </c>
      <c r="C49" s="8" t="inlineStr">
        <is>
          <t>脫脂(&lt;0.5%)濃稠發酵乳(生乳,乳酸菌等)</t>
        </is>
      </c>
      <c r="D49" s="8" t="inlineStr">
        <is>
          <t>乳品類</t>
        </is>
      </c>
      <c r="E49" s="9" t="n">
        <v>68</v>
      </c>
      <c r="F49" s="9" t="n">
        <v>2.3</v>
      </c>
      <c r="G49" s="9" t="n">
        <v>0.4</v>
      </c>
      <c r="H49" s="9" t="n">
        <v>0.3</v>
      </c>
      <c r="I49" s="9" t="n">
        <v>0.009090000000000001</v>
      </c>
      <c r="J49" s="9" t="n">
        <v>13.8</v>
      </c>
      <c r="K49" s="9" t="n">
        <v>10.4</v>
      </c>
      <c r="L49" s="9" t="n">
        <v>49</v>
      </c>
      <c r="M49" s="8" t="inlineStr">
        <is>
          <t>食品營養成分資料庫 L0318301</t>
        </is>
      </c>
    </row>
    <row r="50">
      <c r="A50" s="8" t="inlineStr">
        <is>
          <t>中脂凝態發酵乳(草莓)</t>
        </is>
      </c>
      <c r="B50" s="8" t="inlineStr">
        <is>
          <t>優格</t>
        </is>
      </c>
      <c r="C50" s="8" t="inlineStr">
        <is>
          <t>中脂(1.5-3.0%)凝態發酵乳(生乳,乳酸菌等)</t>
        </is>
      </c>
      <c r="D50" s="8" t="inlineStr">
        <is>
          <t>乳品類</t>
        </is>
      </c>
      <c r="E50" s="9" t="n">
        <v>102</v>
      </c>
      <c r="F50" s="9" t="n">
        <v>3.7</v>
      </c>
      <c r="G50" s="9" t="n">
        <v>2.7</v>
      </c>
      <c r="H50" s="9" t="n">
        <v>2</v>
      </c>
      <c r="I50" s="9" t="n">
        <v>0.04294</v>
      </c>
      <c r="J50" s="9" t="n">
        <v>15.7</v>
      </c>
      <c r="K50" s="9" t="n">
        <v>13.9</v>
      </c>
      <c r="L50" s="9" t="n">
        <v>58</v>
      </c>
      <c r="M50" s="8" t="inlineStr">
        <is>
          <t>食品營養成分資料庫 L0324101</t>
        </is>
      </c>
    </row>
    <row r="51">
      <c r="A51" s="8" t="inlineStr">
        <is>
          <t>切片乾酪(低脂)</t>
        </is>
      </c>
      <c r="B51" s="8" t="inlineStr">
        <is>
          <t>起司、芝士（市售亦稱「乳酪」）</t>
        </is>
      </c>
      <c r="C51" s="8" t="n"/>
      <c r="D51" s="8" t="inlineStr">
        <is>
          <t>乳品類</t>
        </is>
      </c>
      <c r="E51" s="9" t="n">
        <v>241</v>
      </c>
      <c r="F51" s="9" t="n">
        <v>21.7</v>
      </c>
      <c r="G51" s="9" t="n">
        <v>13</v>
      </c>
      <c r="H51" s="9" t="n">
        <v>9.4</v>
      </c>
      <c r="I51" s="9" t="n">
        <v>0.34836</v>
      </c>
      <c r="J51" s="9" t="n">
        <v>8.800000000000001</v>
      </c>
      <c r="K51" s="9" t="n">
        <v>3.5</v>
      </c>
      <c r="L51" s="9" t="n">
        <v>1598</v>
      </c>
      <c r="M51" s="8" t="inlineStr">
        <is>
          <t>食品營養成分資料庫 L0500201</t>
        </is>
      </c>
    </row>
    <row r="52">
      <c r="A52" s="8" t="inlineStr">
        <is>
          <t>刨絲乾酪</t>
        </is>
      </c>
      <c r="B52" s="8" t="inlineStr">
        <is>
          <t>起司、芝士（市售亦稱「乳酪」）</t>
        </is>
      </c>
      <c r="C52" s="8" t="n"/>
      <c r="D52" s="8" t="inlineStr">
        <is>
          <t>乳品類</t>
        </is>
      </c>
      <c r="E52" s="9" t="n">
        <v>323</v>
      </c>
      <c r="F52" s="9" t="n">
        <v>25.1</v>
      </c>
      <c r="G52" s="9" t="n">
        <v>22.6</v>
      </c>
      <c r="H52" s="9" t="n">
        <v>15.8</v>
      </c>
      <c r="I52" s="9" t="n">
        <v>0.7515500000000001</v>
      </c>
      <c r="J52" s="9" t="n">
        <v>4.4</v>
      </c>
      <c r="K52" s="9" t="n">
        <v>0.4</v>
      </c>
      <c r="L52" s="9" t="n">
        <v>548</v>
      </c>
      <c r="M52" s="8" t="inlineStr">
        <is>
          <t>食品營養成分資料庫 L0500301</t>
        </is>
      </c>
    </row>
    <row r="53">
      <c r="A53" s="8" t="inlineStr">
        <is>
          <t>乾酪粉</t>
        </is>
      </c>
      <c r="B53" s="8" t="inlineStr">
        <is>
          <t>起司粉、芝士粉（市售亦稱「乳酪粉」）</t>
        </is>
      </c>
      <c r="C53" s="8" t="n"/>
      <c r="D53" s="8" t="inlineStr">
        <is>
          <t>乳品類</t>
        </is>
      </c>
      <c r="E53" s="9" t="n">
        <v>480</v>
      </c>
      <c r="F53" s="9" t="n">
        <v>40.4</v>
      </c>
      <c r="G53" s="9" t="n">
        <v>34</v>
      </c>
      <c r="H53" s="9" t="n">
        <v>24.2</v>
      </c>
      <c r="I53" s="9" t="n">
        <v>1.30035</v>
      </c>
      <c r="J53" s="9" t="n">
        <v>3.1</v>
      </c>
      <c r="K53" s="9" t="n">
        <v>0</v>
      </c>
      <c r="L53" s="9" t="n">
        <v>1543</v>
      </c>
      <c r="M53" s="8" t="inlineStr">
        <is>
          <t>食品營養成分資料庫 L0500401</t>
        </is>
      </c>
    </row>
    <row r="54">
      <c r="A54" s="8" t="inlineStr">
        <is>
          <t>中脂調味保久羊乳(果汁)</t>
        </is>
      </c>
      <c r="B54" s="8" t="inlineStr">
        <is>
          <t>羊奶</t>
        </is>
      </c>
      <c r="C54" s="8" t="inlineStr">
        <is>
          <t>中脂(≧1.5%)調味保久羊乳(羊奶,果汁等)</t>
        </is>
      </c>
      <c r="D54" s="8" t="inlineStr">
        <is>
          <t>乳品類</t>
        </is>
      </c>
      <c r="E54" s="9" t="n">
        <v>75</v>
      </c>
      <c r="F54" s="9" t="n">
        <v>2.9</v>
      </c>
      <c r="G54" s="9" t="n">
        <v>2.8</v>
      </c>
      <c r="H54" s="9" t="n">
        <v>2.1</v>
      </c>
      <c r="I54" s="9" t="n">
        <v>0.09332</v>
      </c>
      <c r="J54" s="9" t="n">
        <v>9.5</v>
      </c>
      <c r="K54" s="9" t="n">
        <v>6.7</v>
      </c>
      <c r="L54" s="9" t="n">
        <v>41</v>
      </c>
      <c r="M54" s="8" t="inlineStr">
        <is>
          <t>食品營養成分資料庫 L1154201</t>
        </is>
      </c>
    </row>
    <row r="55">
      <c r="A55" s="8" t="inlineStr">
        <is>
          <t>全脂羊奶粉</t>
        </is>
      </c>
      <c r="B55" s="8" t="inlineStr">
        <is>
          <t>羊乳粉</t>
        </is>
      </c>
      <c r="C55" s="8" t="inlineStr">
        <is>
          <t>全脂(≧26%)羊奶粉</t>
        </is>
      </c>
      <c r="D55" s="8" t="inlineStr">
        <is>
          <t>乳品類</t>
        </is>
      </c>
      <c r="E55" s="9" t="n">
        <v>510</v>
      </c>
      <c r="F55" s="9" t="n">
        <v>26.7</v>
      </c>
      <c r="G55" s="9" t="n">
        <v>29.8</v>
      </c>
      <c r="H55" s="9" t="n">
        <v>21.4</v>
      </c>
      <c r="I55" s="9" t="n">
        <v>0.5713</v>
      </c>
      <c r="J55" s="9" t="n">
        <v>34.8</v>
      </c>
      <c r="K55" s="9" t="n">
        <v>28.8</v>
      </c>
      <c r="L55" s="9" t="n">
        <v>232</v>
      </c>
      <c r="M55" s="8" t="inlineStr">
        <is>
          <t>食品營養成分資料庫 L1200101</t>
        </is>
      </c>
    </row>
    <row r="56">
      <c r="A56" s="8" t="inlineStr">
        <is>
          <t>液態蛋白</t>
        </is>
      </c>
      <c r="B56" s="8" t="inlineStr">
        <is>
          <t>蛋白、雞蛋白、蛋白霜原料</t>
        </is>
      </c>
      <c r="C56" s="8" t="n"/>
      <c r="D56" s="8" t="inlineStr">
        <is>
          <t>蛋類</t>
        </is>
      </c>
      <c r="E56" s="9" t="n">
        <v>54</v>
      </c>
      <c r="F56" s="9" t="n">
        <v>10.9</v>
      </c>
      <c r="G56" s="9" t="n">
        <v>0</v>
      </c>
      <c r="H56" s="9" t="n">
        <v>0</v>
      </c>
      <c r="I56" s="9" t="n">
        <v>0</v>
      </c>
      <c r="J56" s="9" t="n">
        <v>0</v>
      </c>
      <c r="K56" s="9" t="n">
        <v>0</v>
      </c>
      <c r="L56" s="9" t="n">
        <v>174</v>
      </c>
      <c r="M56" s="8" t="inlineStr">
        <is>
          <t>USDA FoodData Central Branded Foods（原廠包裝標示，2026-04 快照）；FDC 2620742</t>
        </is>
      </c>
    </row>
    <row r="57">
      <c r="A57" s="8" t="inlineStr">
        <is>
          <t>雞蛋平均值</t>
        </is>
      </c>
      <c r="B57" s="8" t="inlineStr">
        <is>
          <t>雞蛋、全蛋、蛋液</t>
        </is>
      </c>
      <c r="C57" s="8" t="inlineStr">
        <is>
          <t>生</t>
        </is>
      </c>
      <c r="D57" s="8" t="inlineStr">
        <is>
          <t>蛋類</t>
        </is>
      </c>
      <c r="E57" s="9" t="n">
        <v>135</v>
      </c>
      <c r="F57" s="9" t="n">
        <v>12.7</v>
      </c>
      <c r="G57" s="9" t="n">
        <v>8.9</v>
      </c>
      <c r="H57" s="9" t="n">
        <v>3.1</v>
      </c>
      <c r="I57" s="9" t="n">
        <v>0.02994</v>
      </c>
      <c r="J57" s="9" t="n">
        <v>1.6</v>
      </c>
      <c r="K57" s="9" t="n">
        <v>0.2</v>
      </c>
      <c r="L57" s="9" t="n">
        <v>138</v>
      </c>
      <c r="M57" s="8" t="inlineStr">
        <is>
          <t>食品營養成分資料庫 K01001</t>
        </is>
      </c>
    </row>
    <row r="58">
      <c r="A58" s="8" t="inlineStr">
        <is>
          <t>雞蛋(白殼)</t>
        </is>
      </c>
      <c r="B58" s="8" t="n"/>
      <c r="C58" s="8" t="inlineStr">
        <is>
          <t>生</t>
        </is>
      </c>
      <c r="D58" s="8" t="inlineStr">
        <is>
          <t>蛋類</t>
        </is>
      </c>
      <c r="E58" s="9" t="n">
        <v>139</v>
      </c>
      <c r="F58" s="9" t="n">
        <v>12.9</v>
      </c>
      <c r="G58" s="9" t="n">
        <v>9.199999999999999</v>
      </c>
      <c r="H58" s="9" t="n">
        <v>3.2</v>
      </c>
      <c r="I58" s="9" t="n">
        <v>0.02994</v>
      </c>
      <c r="J58" s="9" t="n">
        <v>1.3</v>
      </c>
      <c r="K58" s="9" t="n">
        <v>0.1</v>
      </c>
      <c r="L58" s="9" t="n">
        <v>129</v>
      </c>
      <c r="M58" s="8" t="inlineStr">
        <is>
          <t>食品營養成分資料庫 K0100101</t>
        </is>
      </c>
    </row>
    <row r="59">
      <c r="A59" s="8" t="inlineStr">
        <is>
          <t>土雞蛋(2022年取樣)</t>
        </is>
      </c>
      <c r="B59" s="8" t="n"/>
      <c r="C59" s="8" t="inlineStr">
        <is>
          <t>生</t>
        </is>
      </c>
      <c r="D59" s="8" t="inlineStr">
        <is>
          <t>蛋類</t>
        </is>
      </c>
      <c r="E59" s="9" t="n">
        <v>137</v>
      </c>
      <c r="F59" s="9" t="n">
        <v>12.2</v>
      </c>
      <c r="G59" s="9" t="n">
        <v>9.300000000000001</v>
      </c>
      <c r="H59" s="9" t="n">
        <v>3.3</v>
      </c>
      <c r="I59" s="9" t="n">
        <v>0.02783</v>
      </c>
      <c r="J59" s="9" t="n">
        <v>1.8</v>
      </c>
      <c r="K59" s="9" t="n">
        <v>0.3</v>
      </c>
      <c r="L59" s="9" t="n">
        <v>152</v>
      </c>
      <c r="M59" s="8" t="inlineStr">
        <is>
          <t>食品營養成分資料庫 K0100202</t>
        </is>
      </c>
    </row>
    <row r="60">
      <c r="A60" s="8" t="inlineStr">
        <is>
          <t>活性乾酵母</t>
        </is>
      </c>
      <c r="B60" s="8" t="inlineStr">
        <is>
          <t>酵母、酵母粉、乾酵母</t>
        </is>
      </c>
      <c r="C60" s="8" t="n"/>
      <c r="D60" s="8" t="inlineStr">
        <is>
          <t>烘焙原料</t>
        </is>
      </c>
      <c r="E60" s="9" t="n">
        <v>350</v>
      </c>
      <c r="F60" s="9" t="n">
        <v>40</v>
      </c>
      <c r="G60" s="9" t="n">
        <v>5</v>
      </c>
      <c r="H60" s="9" t="n">
        <v>0</v>
      </c>
      <c r="I60" s="9" t="n">
        <v>0</v>
      </c>
      <c r="J60" s="9" t="n">
        <v>40</v>
      </c>
      <c r="K60" s="9" t="n">
        <v>0</v>
      </c>
      <c r="L60" s="9" t="n">
        <v>0</v>
      </c>
      <c r="M60" s="8" t="inlineStr">
        <is>
          <t>USDA FoodData Central Branded Foods（原廠包裝標示，2026-04 快照）；FDC 2014721</t>
        </is>
      </c>
    </row>
    <row r="61">
      <c r="A61" s="8" t="inlineStr">
        <is>
          <t>泡打粉</t>
        </is>
      </c>
      <c r="B61" s="8" t="inlineStr">
        <is>
          <t>發粉、烘焙粉</t>
        </is>
      </c>
      <c r="C61" s="8" t="n"/>
      <c r="D61" s="8" t="inlineStr">
        <is>
          <t>烘焙原料</t>
        </is>
      </c>
      <c r="E61" s="9" t="n">
        <v>0</v>
      </c>
      <c r="F61" s="9" t="n">
        <v>0</v>
      </c>
      <c r="G61" s="9" t="n">
        <v>0</v>
      </c>
      <c r="H61" s="9" t="n">
        <v>0</v>
      </c>
      <c r="I61" s="9" t="n">
        <v>0</v>
      </c>
      <c r="J61" s="9" t="n">
        <v>0</v>
      </c>
      <c r="K61" s="9" t="n">
        <v>0</v>
      </c>
      <c r="L61" s="9" t="n">
        <v>6670</v>
      </c>
      <c r="M61" s="8" t="inlineStr">
        <is>
          <t>USDA FoodData Central Branded Foods（原廠包裝標示，2026-04 快照）；FDC 2679239</t>
        </is>
      </c>
    </row>
    <row r="62">
      <c r="A62" s="8" t="inlineStr">
        <is>
          <t>小蘇打</t>
        </is>
      </c>
      <c r="B62" s="8" t="inlineStr">
        <is>
          <t>蘇打粉、食用小蘇打、碳酸氫鈉、重曹、烘焙蘇打</t>
        </is>
      </c>
      <c r="C62" s="8" t="n"/>
      <c r="D62" s="8" t="inlineStr">
        <is>
          <t>烘焙原料</t>
        </is>
      </c>
      <c r="E62" s="9" t="n">
        <v>0</v>
      </c>
      <c r="F62" s="9" t="n">
        <v>0</v>
      </c>
      <c r="G62" s="9" t="n">
        <v>0</v>
      </c>
      <c r="H62" s="9" t="n">
        <v>0</v>
      </c>
      <c r="I62" s="9" t="n">
        <v>0</v>
      </c>
      <c r="J62" s="9" t="n">
        <v>0</v>
      </c>
      <c r="K62" s="9" t="n">
        <v>0</v>
      </c>
      <c r="L62" s="9" t="n">
        <v>27400</v>
      </c>
      <c r="M62" s="8" t="inlineStr">
        <is>
          <t>USDA FoodData Central SR Legacy（2018-04 官方快照）；FDC 175040</t>
        </is>
      </c>
    </row>
    <row r="63">
      <c r="A63" s="8" t="inlineStr">
        <is>
          <t>黑巧克力(70-85%可可)</t>
        </is>
      </c>
      <c r="B63" s="8" t="inlineStr">
        <is>
          <t>黑巧克力、苦甜巧克力、dark chocolate</t>
        </is>
      </c>
      <c r="C63" s="8" t="n"/>
      <c r="D63" s="8" t="inlineStr">
        <is>
          <t>糕餅點心類</t>
        </is>
      </c>
      <c r="E63" s="9" t="n">
        <v>598</v>
      </c>
      <c r="F63" s="9" t="n">
        <v>7.79</v>
      </c>
      <c r="G63" s="9" t="n">
        <v>42.63</v>
      </c>
      <c r="H63" s="9" t="n">
        <v>24.489</v>
      </c>
      <c r="I63" s="9" t="n">
        <v>0.03</v>
      </c>
      <c r="J63" s="9" t="n">
        <v>45.9</v>
      </c>
      <c r="K63" s="9" t="n">
        <v>23.99</v>
      </c>
      <c r="L63" s="9" t="n">
        <v>20</v>
      </c>
      <c r="M63" s="8" t="inlineStr">
        <is>
          <t>USDA FoodData Central SR Legacy（2018-04 官方快照）；FDC 170273</t>
        </is>
      </c>
    </row>
    <row r="64">
      <c r="A64" s="8" t="inlineStr">
        <is>
          <t>巧克力豆</t>
        </is>
      </c>
      <c r="B64" s="8" t="inlineStr">
        <is>
          <t>耐烤巧克力豆、半甜巧克力豆、chocolate chips</t>
        </is>
      </c>
      <c r="C64" s="8" t="n"/>
      <c r="D64" s="8" t="inlineStr">
        <is>
          <t>糕餅點心類</t>
        </is>
      </c>
      <c r="E64" s="9" t="n">
        <v>467</v>
      </c>
      <c r="F64" s="9" t="n">
        <v>6.67</v>
      </c>
      <c r="G64" s="9" t="n">
        <v>26.7</v>
      </c>
      <c r="H64" s="9" t="n">
        <v>16.7</v>
      </c>
      <c r="I64" s="9" t="n">
        <v>0</v>
      </c>
      <c r="J64" s="9" t="n">
        <v>66.7</v>
      </c>
      <c r="K64" s="9" t="n">
        <v>53.3</v>
      </c>
      <c r="L64" s="9" t="n">
        <v>0</v>
      </c>
      <c r="M64" s="8" t="inlineStr">
        <is>
          <t>USDA FoodData Central Branded Foods（原廠包裝標示，2026-04 快照）；FDC 2103549</t>
        </is>
      </c>
    </row>
    <row r="65">
      <c r="A65" s="8" t="inlineStr">
        <is>
          <t>瓶裝飲用水</t>
        </is>
      </c>
      <c r="B65" s="8" t="inlineStr">
        <is>
          <t>飲用水、水</t>
        </is>
      </c>
      <c r="C65" s="8" t="n"/>
      <c r="D65" s="8" t="inlineStr">
        <is>
          <t>飲料類</t>
        </is>
      </c>
      <c r="E65" s="9" t="n">
        <v>0</v>
      </c>
      <c r="F65" s="9" t="n">
        <v>0</v>
      </c>
      <c r="G65" s="9" t="n">
        <v>0</v>
      </c>
      <c r="H65" s="9" t="n">
        <v>0</v>
      </c>
      <c r="I65" s="9" t="n">
        <v>0</v>
      </c>
      <c r="J65" s="9" t="n">
        <v>0</v>
      </c>
      <c r="K65" s="9" t="n">
        <v>0</v>
      </c>
      <c r="L65" s="9" t="n">
        <v>2</v>
      </c>
      <c r="M65" s="8" t="inlineStr">
        <is>
          <t>USDA FoodData Central SR Legacy（2018-04 官方快照）；FDC 174158</t>
        </is>
      </c>
    </row>
    <row r="66">
      <c r="A66" s="8" t="inlineStr">
        <is>
          <t>食鹽</t>
        </is>
      </c>
      <c r="B66" s="8" t="inlineStr">
        <is>
          <t>鹽、餐桌鹽、精鹽</t>
        </is>
      </c>
      <c r="C66" s="8" t="n"/>
      <c r="D66" s="8" t="inlineStr">
        <is>
          <t>調味料及香辛料類</t>
        </is>
      </c>
      <c r="E66" s="9" t="n">
        <v>0</v>
      </c>
      <c r="F66" s="9" t="n">
        <v>0</v>
      </c>
      <c r="G66" s="9" t="n">
        <v>0</v>
      </c>
      <c r="H66" s="9" t="n">
        <v>0</v>
      </c>
      <c r="I66" s="9" t="n">
        <v>0</v>
      </c>
      <c r="J66" s="9" t="n">
        <v>0</v>
      </c>
      <c r="K66" s="9" t="n">
        <v>0</v>
      </c>
      <c r="L66" s="9" t="n">
        <v>38758</v>
      </c>
      <c r="M66" s="8" t="inlineStr">
        <is>
          <t>USDA FoodData Central SR Legacy（2018-04 官方快照）；FDC 173468</t>
        </is>
      </c>
    </row>
    <row r="67">
      <c r="A67" s="8" t="inlineStr">
        <is>
          <t>薑黃粉</t>
        </is>
      </c>
      <c r="B67" s="8" t="n"/>
      <c r="C67" s="8" t="n"/>
      <c r="D67" s="8" t="inlineStr">
        <is>
          <t>調味料及香辛料類</t>
        </is>
      </c>
      <c r="E67" s="9" t="n">
        <v>358</v>
      </c>
      <c r="F67" s="9" t="n">
        <v>14.6</v>
      </c>
      <c r="G67" s="9" t="n">
        <v>2.7</v>
      </c>
      <c r="H67" s="9" t="n">
        <v>0.8</v>
      </c>
      <c r="I67" s="9" t="n">
        <v>0</v>
      </c>
      <c r="J67" s="9" t="n">
        <v>69</v>
      </c>
      <c r="K67" s="9" t="n">
        <v>3.6</v>
      </c>
      <c r="L67" s="9" t="n">
        <v>5</v>
      </c>
      <c r="M67" s="8" t="inlineStr">
        <is>
          <t>食品營養成分資料庫 P0101901</t>
        </is>
      </c>
    </row>
    <row r="68">
      <c r="A68" s="8" t="inlineStr">
        <is>
          <t>花椒粒</t>
        </is>
      </c>
      <c r="B68" s="8" t="n"/>
      <c r="C68" s="8" t="inlineStr">
        <is>
          <t>乾貨</t>
        </is>
      </c>
      <c r="D68" s="8" t="inlineStr">
        <is>
          <t>調味料及香辛料類</t>
        </is>
      </c>
      <c r="E68" s="9" t="n">
        <v>359</v>
      </c>
      <c r="F68" s="9" t="n">
        <v>10.3</v>
      </c>
      <c r="G68" s="9" t="n">
        <v>12.5</v>
      </c>
      <c r="H68" s="9" t="n">
        <v>2.1</v>
      </c>
      <c r="I68" s="9" t="n">
        <v>0.04466</v>
      </c>
      <c r="J68" s="9" t="n">
        <v>53.6</v>
      </c>
      <c r="K68" s="9" t="n">
        <v>1.2</v>
      </c>
      <c r="L68" s="9" t="n">
        <v>2780</v>
      </c>
      <c r="M68" s="8" t="inlineStr">
        <is>
          <t>食品營養成分資料庫 P0102201</t>
        </is>
      </c>
    </row>
    <row r="69">
      <c r="A69" s="8" t="inlineStr">
        <is>
          <t>陳皮</t>
        </is>
      </c>
      <c r="B69" s="8" t="n"/>
      <c r="C69" s="8" t="inlineStr">
        <is>
          <t>乾貨</t>
        </is>
      </c>
      <c r="D69" s="8" t="inlineStr">
        <is>
          <t>調味料及香辛料類</t>
        </is>
      </c>
      <c r="E69" s="9" t="n">
        <v>349</v>
      </c>
      <c r="F69" s="9" t="n">
        <v>6.9</v>
      </c>
      <c r="G69" s="9" t="n">
        <v>2.4</v>
      </c>
      <c r="H69" s="9" t="n">
        <v>0.9</v>
      </c>
      <c r="I69" s="9" t="n">
        <v>0</v>
      </c>
      <c r="J69" s="9" t="n">
        <v>74.8</v>
      </c>
      <c r="K69" s="9" t="n">
        <v>15.7</v>
      </c>
      <c r="L69" s="9" t="n">
        <v>3</v>
      </c>
      <c r="M69" s="8" t="inlineStr">
        <is>
          <t>食品營養成分資料庫 P0201401</t>
        </is>
      </c>
    </row>
    <row r="70">
      <c r="A70" s="8" t="inlineStr">
        <is>
          <t>山楂</t>
        </is>
      </c>
      <c r="B70" s="8" t="n"/>
      <c r="C70" s="8" t="inlineStr">
        <is>
          <t>乾貨</t>
        </is>
      </c>
      <c r="D70" s="8" t="inlineStr">
        <is>
          <t>調味料及香辛料類</t>
        </is>
      </c>
      <c r="E70" s="9" t="n">
        <v>345</v>
      </c>
      <c r="F70" s="9" t="n">
        <v>1.9</v>
      </c>
      <c r="G70" s="9" t="n">
        <v>2.5</v>
      </c>
      <c r="H70" s="9" t="n">
        <v>1</v>
      </c>
      <c r="I70" s="9" t="n">
        <v>0</v>
      </c>
      <c r="J70" s="9" t="n">
        <v>78.7</v>
      </c>
      <c r="K70" s="9" t="n">
        <v>19</v>
      </c>
      <c r="L70" s="9" t="n">
        <v>12</v>
      </c>
      <c r="M70" s="8" t="inlineStr">
        <is>
          <t>食品營養成分資料庫 P0201501</t>
        </is>
      </c>
    </row>
    <row r="71">
      <c r="A71" s="8" t="inlineStr">
        <is>
          <t>鰹魚粉</t>
        </is>
      </c>
      <c r="B71" s="8" t="n"/>
      <c r="C71" s="8" t="n"/>
      <c r="D71" s="8" t="inlineStr">
        <is>
          <t>調味料及香辛料類</t>
        </is>
      </c>
      <c r="E71" s="9" t="n">
        <v>240</v>
      </c>
      <c r="F71" s="9" t="n">
        <v>21.9</v>
      </c>
      <c r="G71" s="9" t="n">
        <v>1</v>
      </c>
      <c r="H71" s="9" t="n">
        <v>0.6</v>
      </c>
      <c r="I71" s="9" t="n">
        <v>0.01187</v>
      </c>
      <c r="J71" s="9" t="n">
        <v>35.8</v>
      </c>
      <c r="K71" s="9" t="n">
        <v>15</v>
      </c>
      <c r="L71" s="9" t="n">
        <v>15888</v>
      </c>
      <c r="M71" s="8" t="inlineStr">
        <is>
          <t>食品營養成分資料庫 P0400401</t>
        </is>
      </c>
    </row>
    <row r="72">
      <c r="A72" s="8" t="inlineStr">
        <is>
          <t>魚露</t>
        </is>
      </c>
      <c r="B72" s="8" t="n"/>
      <c r="C72" s="8" t="n"/>
      <c r="D72" s="8" t="inlineStr">
        <is>
          <t>調味料及香辛料類</t>
        </is>
      </c>
      <c r="E72" s="9" t="n">
        <v>64</v>
      </c>
      <c r="F72" s="9" t="n">
        <v>10.2</v>
      </c>
      <c r="G72" s="9" t="n">
        <v>0.2</v>
      </c>
      <c r="H72" s="9" t="n">
        <v>0.1</v>
      </c>
      <c r="I72" s="9" t="n">
        <v>0</v>
      </c>
      <c r="J72" s="9" t="n">
        <v>5.3</v>
      </c>
      <c r="K72" s="9" t="n">
        <v>5</v>
      </c>
      <c r="L72" s="9" t="n">
        <v>8908</v>
      </c>
      <c r="M72" s="8" t="inlineStr">
        <is>
          <t>食品營養成分資料庫 P0800401</t>
        </is>
      </c>
    </row>
    <row r="73">
      <c r="A73" s="8" t="inlineStr">
        <is>
          <t>黑胡椒醬</t>
        </is>
      </c>
      <c r="B73" s="8" t="n"/>
      <c r="C73" s="8" t="n"/>
      <c r="D73" s="8" t="inlineStr">
        <is>
          <t>調味料及香辛料類</t>
        </is>
      </c>
      <c r="E73" s="9" t="n">
        <v>117</v>
      </c>
      <c r="F73" s="9" t="n">
        <v>2.5</v>
      </c>
      <c r="G73" s="9" t="n">
        <v>0.5</v>
      </c>
      <c r="H73" s="9" t="n">
        <v>0.2</v>
      </c>
      <c r="I73" s="9" t="n">
        <v>0</v>
      </c>
      <c r="J73" s="9" t="n">
        <v>25.5</v>
      </c>
      <c r="K73" s="9" t="n">
        <v>8.9</v>
      </c>
      <c r="L73" s="9" t="n">
        <v>1762</v>
      </c>
      <c r="M73" s="8" t="inlineStr">
        <is>
          <t>食品營養成分資料庫 P1002801</t>
        </is>
      </c>
    </row>
    <row r="74">
      <c r="A74" s="8" t="inlineStr">
        <is>
          <t>沙拉醬(2021年取樣)</t>
        </is>
      </c>
      <c r="B74" s="8" t="inlineStr">
        <is>
          <t>蛋黃醬</t>
        </is>
      </c>
      <c r="C74" s="8" t="n"/>
      <c r="D74" s="8" t="inlineStr">
        <is>
          <t>調味料及香辛料類</t>
        </is>
      </c>
      <c r="E74" s="9" t="n">
        <v>630</v>
      </c>
      <c r="F74" s="9" t="n">
        <v>1.9</v>
      </c>
      <c r="G74" s="9" t="n">
        <v>61.7</v>
      </c>
      <c r="H74" s="9" t="n">
        <v>8.699999999999999</v>
      </c>
      <c r="I74" s="9" t="n">
        <v>0.70067</v>
      </c>
      <c r="J74" s="9" t="n">
        <v>16.8</v>
      </c>
      <c r="K74" s="9" t="n">
        <v>7.4</v>
      </c>
      <c r="L74" s="9" t="n">
        <v>687</v>
      </c>
      <c r="M74" s="8" t="inlineStr">
        <is>
          <t>食品營養成分資料庫 P1100102</t>
        </is>
      </c>
    </row>
    <row r="75">
      <c r="A75" s="8" t="inlineStr">
        <is>
          <t>無蛋沙拉醬(2021年取樣)</t>
        </is>
      </c>
      <c r="B75" s="8" t="n"/>
      <c r="C75" s="8" t="n"/>
      <c r="D75" s="8" t="inlineStr">
        <is>
          <t>調味料及香辛料類</t>
        </is>
      </c>
      <c r="E75" s="9" t="n">
        <v>631</v>
      </c>
      <c r="F75" s="9" t="n">
        <v>0.3</v>
      </c>
      <c r="G75" s="9" t="n">
        <v>59.8</v>
      </c>
      <c r="H75" s="9" t="n">
        <v>9.699999999999999</v>
      </c>
      <c r="I75" s="9" t="n">
        <v>0.43628</v>
      </c>
      <c r="J75" s="9" t="n">
        <v>22.9</v>
      </c>
      <c r="K75" s="9" t="n">
        <v>19.9</v>
      </c>
      <c r="L75" s="9" t="n">
        <v>350</v>
      </c>
      <c r="M75" s="8" t="inlineStr">
        <is>
          <t>食品營養成分資料庫 P1100202</t>
        </is>
      </c>
    </row>
    <row r="76">
      <c r="A76" s="8" t="inlineStr">
        <is>
          <t>和風沙拉醬</t>
        </is>
      </c>
      <c r="B76" s="8" t="n"/>
      <c r="C76" s="8" t="n"/>
      <c r="D76" s="8" t="inlineStr">
        <is>
          <t>調味料及香辛料類</t>
        </is>
      </c>
      <c r="E76" s="9" t="n">
        <v>129</v>
      </c>
      <c r="F76" s="9" t="n">
        <v>2.1</v>
      </c>
      <c r="G76" s="9" t="n">
        <v>1.7</v>
      </c>
      <c r="H76" s="9" t="n">
        <v>0.3</v>
      </c>
      <c r="I76" s="9" t="n">
        <v>0</v>
      </c>
      <c r="J76" s="9" t="n">
        <v>26.3</v>
      </c>
      <c r="K76" s="9" t="n">
        <v>25.4</v>
      </c>
      <c r="L76" s="9" t="n">
        <v>2853</v>
      </c>
      <c r="M76" s="8" t="inlineStr">
        <is>
          <t>食品營養成分資料庫 P1100401</t>
        </is>
      </c>
    </row>
    <row r="77">
      <c r="A77" s="8" t="inlineStr">
        <is>
          <t>柚子果醬</t>
        </is>
      </c>
      <c r="B77" s="8" t="n"/>
      <c r="C77" s="8" t="n"/>
      <c r="D77" s="8" t="inlineStr">
        <is>
          <t>調味料及香辛料類</t>
        </is>
      </c>
      <c r="E77" s="9" t="n">
        <v>268</v>
      </c>
      <c r="F77" s="9" t="n">
        <v>0.6</v>
      </c>
      <c r="G77" s="9" t="n">
        <v>0.8</v>
      </c>
      <c r="H77" s="9" t="n">
        <v>0.2</v>
      </c>
      <c r="I77" s="9" t="n">
        <v>0</v>
      </c>
      <c r="J77" s="9" t="n">
        <v>64.5</v>
      </c>
      <c r="K77" s="9" t="n">
        <v>55</v>
      </c>
      <c r="L77" s="9" t="n">
        <v>81</v>
      </c>
      <c r="M77" s="8" t="inlineStr">
        <is>
          <t>食品營養成分資料庫 P1300501</t>
        </is>
      </c>
    </row>
    <row r="78">
      <c r="A78" s="8" t="inlineStr">
        <is>
          <t>無糖黑芝麻醬</t>
        </is>
      </c>
      <c r="B78" s="8" t="n"/>
      <c r="C78" s="8" t="n"/>
      <c r="D78" s="8" t="inlineStr">
        <is>
          <t>調味料及香辛料類</t>
        </is>
      </c>
      <c r="E78" s="9" t="n">
        <v>612</v>
      </c>
      <c r="F78" s="9" t="n">
        <v>20.7</v>
      </c>
      <c r="G78" s="9" t="n">
        <v>56</v>
      </c>
      <c r="H78" s="9" t="n">
        <v>8.4</v>
      </c>
      <c r="I78" s="9" t="n">
        <v>0.06252000000000001</v>
      </c>
      <c r="J78" s="9" t="n">
        <v>17.7</v>
      </c>
      <c r="K78" s="9" t="n">
        <v>0.5</v>
      </c>
      <c r="L78" s="9" t="n">
        <v>2</v>
      </c>
      <c r="M78" s="8" t="inlineStr">
        <is>
          <t>食品營養成分資料庫 P1301201</t>
        </is>
      </c>
    </row>
    <row r="79">
      <c r="A79" s="8" t="inlineStr">
        <is>
          <t>液體奶精(2021年)</t>
        </is>
      </c>
      <c r="B79" s="8" t="inlineStr">
        <is>
          <t>奶精</t>
        </is>
      </c>
      <c r="C79" s="8" t="n"/>
      <c r="D79" s="8" t="inlineStr">
        <is>
          <t>調味料及香辛料類</t>
        </is>
      </c>
      <c r="E79" s="9" t="n">
        <v>242</v>
      </c>
      <c r="F79" s="9" t="n">
        <v>2.2</v>
      </c>
      <c r="G79" s="9" t="n">
        <v>24</v>
      </c>
      <c r="H79" s="9" t="n">
        <v>15.5</v>
      </c>
      <c r="I79" s="9" t="n">
        <v>0.09607</v>
      </c>
      <c r="J79" s="9" t="n">
        <v>4.2</v>
      </c>
      <c r="K79" s="9" t="n">
        <v>2.4</v>
      </c>
      <c r="L79" s="9" t="n">
        <v>122</v>
      </c>
      <c r="M79" s="8" t="inlineStr">
        <is>
          <t>食品營養成分資料庫 P1400102</t>
        </is>
      </c>
    </row>
    <row r="80">
      <c r="A80" s="8" t="inlineStr">
        <is>
          <t>奶精粉(2021年)</t>
        </is>
      </c>
      <c r="B80" s="8" t="inlineStr">
        <is>
          <t>奶精</t>
        </is>
      </c>
      <c r="C80" s="8" t="n"/>
      <c r="D80" s="8" t="inlineStr">
        <is>
          <t>調味料及香辛料類</t>
        </is>
      </c>
      <c r="E80" s="9" t="n">
        <v>550</v>
      </c>
      <c r="F80" s="9" t="n">
        <v>2.1</v>
      </c>
      <c r="G80" s="9" t="n">
        <v>34.6</v>
      </c>
      <c r="H80" s="9" t="n">
        <v>31.3</v>
      </c>
      <c r="I80" s="9" t="n">
        <v>0.18751</v>
      </c>
      <c r="J80" s="9" t="n">
        <v>57.6</v>
      </c>
      <c r="K80" s="9" t="n">
        <v>8.800000000000001</v>
      </c>
      <c r="L80" s="9" t="n">
        <v>243</v>
      </c>
      <c r="M80" s="8" t="inlineStr">
        <is>
          <t>食品營養成分資料庫 P1400202</t>
        </is>
      </c>
    </row>
    <row r="81">
      <c r="A81" s="8" t="inlineStr">
        <is>
          <t>黑豆胚芽</t>
        </is>
      </c>
      <c r="B81" s="8" t="n"/>
      <c r="C81" s="8" t="inlineStr">
        <is>
          <t>生</t>
        </is>
      </c>
      <c r="D81" s="8" t="inlineStr">
        <is>
          <t>豆類</t>
        </is>
      </c>
      <c r="E81" s="9" t="n">
        <v>185</v>
      </c>
      <c r="F81" s="9" t="n">
        <v>16.1</v>
      </c>
      <c r="G81" s="9" t="n">
        <v>7.7</v>
      </c>
      <c r="H81" s="9" t="n">
        <v>1.4</v>
      </c>
      <c r="I81" s="9" t="n">
        <v>0</v>
      </c>
      <c r="J81" s="9" t="n">
        <v>15.9</v>
      </c>
      <c r="K81" s="9" t="n">
        <v>2.6</v>
      </c>
      <c r="L81" s="9" t="n">
        <v>2</v>
      </c>
      <c r="M81" s="8" t="inlineStr">
        <is>
          <t>食品營養成分資料庫 H0610101</t>
        </is>
      </c>
    </row>
    <row r="82">
      <c r="A82" s="8" t="inlineStr">
        <is>
          <t>萊豆仁(去膜)</t>
        </is>
      </c>
      <c r="B82" s="8" t="inlineStr">
        <is>
          <t>皇帝豆、皇格豆、白扁豆、觀音豆、雪豆、大馬萊豆、細綿豆</t>
        </is>
      </c>
      <c r="C82" s="8" t="inlineStr">
        <is>
          <t>生</t>
        </is>
      </c>
      <c r="D82" s="8" t="inlineStr">
        <is>
          <t>豆類</t>
        </is>
      </c>
      <c r="E82" s="9" t="n">
        <v>137</v>
      </c>
      <c r="F82" s="9" t="n">
        <v>7.4</v>
      </c>
      <c r="G82" s="9" t="n">
        <v>1.4</v>
      </c>
      <c r="H82" s="9" t="n">
        <v>0.6</v>
      </c>
      <c r="I82" s="9" t="n">
        <v>0</v>
      </c>
      <c r="J82" s="9" t="n">
        <v>24.7</v>
      </c>
      <c r="K82" s="9" t="n">
        <v>1.5</v>
      </c>
      <c r="L82" s="9" t="n">
        <v>2</v>
      </c>
      <c r="M82" s="8" t="inlineStr">
        <is>
          <t>食品營養成分資料庫 H0900201</t>
        </is>
      </c>
    </row>
    <row r="83">
      <c r="A83" s="8" t="inlineStr">
        <is>
          <t>毛豆莢(高雄13號)</t>
        </is>
      </c>
      <c r="B83" s="8" t="inlineStr">
        <is>
          <t>大豆、青大豆、青皮豆</t>
        </is>
      </c>
      <c r="C83" s="8" t="inlineStr">
        <is>
          <t>生</t>
        </is>
      </c>
      <c r="D83" s="8" t="inlineStr">
        <is>
          <t>豆類</t>
        </is>
      </c>
      <c r="E83" s="9" t="n">
        <v>137</v>
      </c>
      <c r="F83" s="9" t="n">
        <v>11.6</v>
      </c>
      <c r="G83" s="9" t="n">
        <v>5.1</v>
      </c>
      <c r="H83" s="9" t="n">
        <v>0.8</v>
      </c>
      <c r="I83" s="9" t="n">
        <v>0</v>
      </c>
      <c r="J83" s="9" t="n">
        <v>13.2</v>
      </c>
      <c r="K83" s="9" t="n">
        <v>1.8</v>
      </c>
      <c r="L83" s="9" t="n">
        <v>1</v>
      </c>
      <c r="M83" s="8" t="inlineStr">
        <is>
          <t>食品營養成分資料庫 H1100201</t>
        </is>
      </c>
    </row>
    <row r="84">
      <c r="A84" s="8" t="inlineStr">
        <is>
          <t>黃豆</t>
        </is>
      </c>
      <c r="B84" s="8" t="inlineStr">
        <is>
          <t>大豆、菽</t>
        </is>
      </c>
      <c r="C84" s="8" t="inlineStr">
        <is>
          <t>乾貨</t>
        </is>
      </c>
      <c r="D84" s="8" t="inlineStr">
        <is>
          <t>豆類</t>
        </is>
      </c>
      <c r="E84" s="9" t="n">
        <v>389</v>
      </c>
      <c r="F84" s="9" t="n">
        <v>35.6</v>
      </c>
      <c r="G84" s="9" t="n">
        <v>15.7</v>
      </c>
      <c r="H84" s="9" t="n">
        <v>2.4</v>
      </c>
      <c r="I84" s="9" t="n">
        <v>0.01387</v>
      </c>
      <c r="J84" s="9" t="n">
        <v>33</v>
      </c>
      <c r="K84" s="9" t="n">
        <v>4.6</v>
      </c>
      <c r="L84" s="9" t="n">
        <v>12</v>
      </c>
      <c r="M84" s="8" t="inlineStr">
        <is>
          <t>食品營養成分資料庫 H1105101</t>
        </is>
      </c>
    </row>
    <row r="85">
      <c r="A85" s="8" t="inlineStr">
        <is>
          <t>黃豆胚芽</t>
        </is>
      </c>
      <c r="B85" s="8" t="inlineStr">
        <is>
          <t>大豆胚芽</t>
        </is>
      </c>
      <c r="C85" s="8" t="inlineStr">
        <is>
          <t>生</t>
        </is>
      </c>
      <c r="D85" s="8" t="inlineStr">
        <is>
          <t>豆類</t>
        </is>
      </c>
      <c r="E85" s="9" t="n">
        <v>169</v>
      </c>
      <c r="F85" s="9" t="n">
        <v>16.6</v>
      </c>
      <c r="G85" s="9" t="n">
        <v>5.4</v>
      </c>
      <c r="H85" s="9" t="n">
        <v>0.9</v>
      </c>
      <c r="I85" s="9" t="n">
        <v>0</v>
      </c>
      <c r="J85" s="9" t="n">
        <v>16.4</v>
      </c>
      <c r="K85" s="9" t="n">
        <v>1.9</v>
      </c>
      <c r="L85" s="9" t="n">
        <v>2</v>
      </c>
      <c r="M85" s="8" t="inlineStr">
        <is>
          <t>食品營養成分資料庫 H1110101</t>
        </is>
      </c>
    </row>
    <row r="86">
      <c r="A86" s="8" t="inlineStr">
        <is>
          <t>黃豆粉(有機)</t>
        </is>
      </c>
      <c r="B86" s="8" t="inlineStr">
        <is>
          <t>大豆粉(有機)</t>
        </is>
      </c>
      <c r="C86" s="8" t="n"/>
      <c r="D86" s="8" t="inlineStr">
        <is>
          <t>豆類</t>
        </is>
      </c>
      <c r="E86" s="9" t="n">
        <v>434</v>
      </c>
      <c r="F86" s="9" t="n">
        <v>42</v>
      </c>
      <c r="G86" s="9" t="n">
        <v>21.9</v>
      </c>
      <c r="H86" s="9" t="n">
        <v>3.5</v>
      </c>
      <c r="I86" s="9" t="n">
        <v>0.04052</v>
      </c>
      <c r="J86" s="9" t="n">
        <v>25.9</v>
      </c>
      <c r="K86" s="9" t="n">
        <v>5.7</v>
      </c>
      <c r="L86" s="9" t="n">
        <v>2</v>
      </c>
      <c r="M86" s="8" t="inlineStr">
        <is>
          <t>食品營養成分資料庫 H1120102</t>
        </is>
      </c>
    </row>
    <row r="87">
      <c r="A87" s="8" t="inlineStr">
        <is>
          <t>樹豆(白)</t>
        </is>
      </c>
      <c r="B87" s="8" t="inlineStr">
        <is>
          <t>木豆、白樹豆、柳豆、米豆、放屁豆、番仔豆、蒲姜豆</t>
        </is>
      </c>
      <c r="C87" s="8" t="inlineStr">
        <is>
          <t>乾貨</t>
        </is>
      </c>
      <c r="D87" s="8" t="inlineStr">
        <is>
          <t>豆類</t>
        </is>
      </c>
      <c r="E87" s="9" t="n">
        <v>325</v>
      </c>
      <c r="F87" s="9" t="n">
        <v>22.1</v>
      </c>
      <c r="G87" s="9" t="n">
        <v>0.8</v>
      </c>
      <c r="H87" s="9" t="n">
        <v>0.3</v>
      </c>
      <c r="I87" s="9" t="n">
        <v>0</v>
      </c>
      <c r="J87" s="9" t="n">
        <v>59.4</v>
      </c>
      <c r="K87" s="9" t="n">
        <v>2.3</v>
      </c>
      <c r="L87" s="9" t="n">
        <v>8</v>
      </c>
      <c r="M87" s="8" t="inlineStr">
        <is>
          <t>食品營養成分資料庫 H1700101</t>
        </is>
      </c>
    </row>
    <row r="88">
      <c r="A88" s="8" t="inlineStr">
        <is>
          <t>翼豆</t>
        </is>
      </c>
      <c r="B88" s="8" t="inlineStr">
        <is>
          <t>四角豆、翅豆、羊角豆、楊桃豆、四稜豆</t>
        </is>
      </c>
      <c r="C88" s="8" t="inlineStr">
        <is>
          <t>生</t>
        </is>
      </c>
      <c r="D88" s="8" t="inlineStr">
        <is>
          <t>豆類</t>
        </is>
      </c>
      <c r="E88" s="9" t="n">
        <v>31</v>
      </c>
      <c r="F88" s="9" t="n">
        <v>2.5</v>
      </c>
      <c r="G88" s="9" t="n">
        <v>0.4</v>
      </c>
      <c r="H88" s="9" t="n">
        <v>0.3</v>
      </c>
      <c r="I88" s="9" t="n">
        <v>0</v>
      </c>
      <c r="J88" s="9" t="n">
        <v>4.7</v>
      </c>
      <c r="K88" s="9" t="n">
        <v>1.2</v>
      </c>
      <c r="L88" s="9" t="n">
        <v>2</v>
      </c>
      <c r="M88" s="8" t="inlineStr">
        <is>
          <t>食品營養成分資料庫 H1800101</t>
        </is>
      </c>
    </row>
    <row r="89">
      <c r="A89" s="8" t="inlineStr">
        <is>
          <t>天貝(黃豆)</t>
        </is>
      </c>
      <c r="B89" s="8" t="n"/>
      <c r="C89" s="8" t="inlineStr">
        <is>
          <t>生,冷凍袋裝</t>
        </is>
      </c>
      <c r="D89" s="8" t="inlineStr">
        <is>
          <t>豆類</t>
        </is>
      </c>
      <c r="E89" s="9" t="n">
        <v>187</v>
      </c>
      <c r="F89" s="9" t="n">
        <v>23.6</v>
      </c>
      <c r="G89" s="9" t="n">
        <v>9</v>
      </c>
      <c r="H89" s="9" t="n">
        <v>1.7</v>
      </c>
      <c r="I89" s="9" t="n">
        <v>0</v>
      </c>
      <c r="J89" s="9" t="n">
        <v>7.4</v>
      </c>
      <c r="K89" s="9" t="n">
        <v>0.1</v>
      </c>
      <c r="L89" s="9" t="n">
        <v>3</v>
      </c>
      <c r="M89" s="8" t="inlineStr">
        <is>
          <t>食品營養成分資料庫 H2000101</t>
        </is>
      </c>
    </row>
    <row r="90">
      <c r="A90" s="8" t="inlineStr">
        <is>
          <t>生杏仁</t>
        </is>
      </c>
      <c r="B90" s="8" t="inlineStr">
        <is>
          <t>杏仁果、杏仁角、杏仁片</t>
        </is>
      </c>
      <c r="C90" s="8" t="n"/>
      <c r="D90" s="8" t="inlineStr">
        <is>
          <t>堅果及種子類</t>
        </is>
      </c>
      <c r="E90" s="9" t="n">
        <v>600</v>
      </c>
      <c r="F90" s="9" t="n">
        <v>20</v>
      </c>
      <c r="G90" s="9" t="n">
        <v>50</v>
      </c>
      <c r="H90" s="9" t="n">
        <v>3.33</v>
      </c>
      <c r="I90" s="9" t="n">
        <v>0</v>
      </c>
      <c r="J90" s="9" t="n">
        <v>23.3</v>
      </c>
      <c r="K90" s="9" t="n">
        <v>3.33</v>
      </c>
      <c r="L90" s="9" t="n">
        <v>0</v>
      </c>
      <c r="M90" s="8" t="inlineStr">
        <is>
          <t>USDA FoodData Central Branded Foods（原廠包裝標示，2026-04 快照）；FDC 2073752</t>
        </is>
      </c>
    </row>
    <row r="91">
      <c r="A91" s="8" t="inlineStr">
        <is>
          <t>奇亞子</t>
        </is>
      </c>
      <c r="B91" s="8" t="n"/>
      <c r="C91" s="8" t="inlineStr">
        <is>
          <t>生</t>
        </is>
      </c>
      <c r="D91" s="8" t="inlineStr">
        <is>
          <t>堅果及種子類</t>
        </is>
      </c>
      <c r="E91" s="9" t="n">
        <v>483</v>
      </c>
      <c r="F91" s="9" t="n">
        <v>21.7</v>
      </c>
      <c r="G91" s="9" t="n">
        <v>31.8</v>
      </c>
      <c r="H91" s="9" t="n">
        <v>3.3</v>
      </c>
      <c r="I91" s="9" t="n">
        <v>0.03708</v>
      </c>
      <c r="J91" s="9" t="n">
        <v>34.8</v>
      </c>
      <c r="K91" s="9" t="n">
        <v>0.4</v>
      </c>
      <c r="L91" s="9" t="n">
        <v>0</v>
      </c>
      <c r="M91" s="8" t="inlineStr">
        <is>
          <t>食品營養成分資料庫 C1505101</t>
        </is>
      </c>
    </row>
    <row r="92">
      <c r="A92" s="8" t="inlineStr">
        <is>
          <t>白芝麻(熟)(2022年取樣)</t>
        </is>
      </c>
      <c r="B92" s="8" t="n"/>
      <c r="C92" s="8" t="inlineStr">
        <is>
          <t>熟(烤)</t>
        </is>
      </c>
      <c r="D92" s="8" t="inlineStr">
        <is>
          <t>堅果及種子類</t>
        </is>
      </c>
      <c r="E92" s="9" t="n">
        <v>601</v>
      </c>
      <c r="F92" s="9" t="n">
        <v>21.7</v>
      </c>
      <c r="G92" s="9" t="n">
        <v>52.4</v>
      </c>
      <c r="H92" s="9" t="n">
        <v>8.4</v>
      </c>
      <c r="I92" s="9" t="n">
        <v>0.03722</v>
      </c>
      <c r="J92" s="9" t="n">
        <v>21.2</v>
      </c>
      <c r="K92" s="9" t="n">
        <v>0.9</v>
      </c>
      <c r="L92" s="9" t="n">
        <v>18</v>
      </c>
      <c r="M92" s="8" t="inlineStr">
        <is>
          <t>食品營養成分資料庫 C1610102</t>
        </is>
      </c>
    </row>
    <row r="93">
      <c r="A93" s="8" t="inlineStr">
        <is>
          <t>黑芝麻(熟)(2022年取樣)</t>
        </is>
      </c>
      <c r="B93" s="8" t="n"/>
      <c r="C93" s="8" t="inlineStr">
        <is>
          <t>熟(烤)</t>
        </is>
      </c>
      <c r="D93" s="8" t="inlineStr">
        <is>
          <t>堅果及種子類</t>
        </is>
      </c>
      <c r="E93" s="9" t="n">
        <v>591</v>
      </c>
      <c r="F93" s="9" t="n">
        <v>20.7</v>
      </c>
      <c r="G93" s="9" t="n">
        <v>51.8</v>
      </c>
      <c r="H93" s="9" t="n">
        <v>8.300000000000001</v>
      </c>
      <c r="I93" s="9" t="n">
        <v>0.008959999999999999</v>
      </c>
      <c r="J93" s="9" t="n">
        <v>21.1</v>
      </c>
      <c r="K93" s="9" t="n">
        <v>0.6</v>
      </c>
      <c r="L93" s="9" t="n">
        <v>1</v>
      </c>
      <c r="M93" s="8" t="inlineStr">
        <is>
          <t>食品營養成分資料庫 C1610202</t>
        </is>
      </c>
    </row>
    <row r="94">
      <c r="A94" s="8" t="inlineStr">
        <is>
          <t>黑金剛花生(生)</t>
        </is>
      </c>
      <c r="B94" s="8" t="inlineStr">
        <is>
          <t>花生、土豆、長壽果</t>
        </is>
      </c>
      <c r="C94" s="8" t="inlineStr">
        <is>
          <t>生,黑仁花生</t>
        </is>
      </c>
      <c r="D94" s="8" t="inlineStr">
        <is>
          <t>堅果及種子類</t>
        </is>
      </c>
      <c r="E94" s="9" t="n">
        <v>553</v>
      </c>
      <c r="F94" s="9" t="n">
        <v>27.6</v>
      </c>
      <c r="G94" s="9" t="n">
        <v>46.6</v>
      </c>
      <c r="H94" s="9" t="n">
        <v>9.1</v>
      </c>
      <c r="I94" s="9" t="n">
        <v>0</v>
      </c>
      <c r="J94" s="9" t="n">
        <v>16.6</v>
      </c>
      <c r="K94" s="9" t="n">
        <v>4.7</v>
      </c>
      <c r="L94" s="9" t="n">
        <v>23</v>
      </c>
      <c r="M94" s="8" t="inlineStr">
        <is>
          <t>食品營養成分資料庫 C1700301</t>
        </is>
      </c>
    </row>
    <row r="95">
      <c r="A95" s="8" t="inlineStr">
        <is>
          <t>紅土帶殼花生(熟)</t>
        </is>
      </c>
      <c r="B95" s="8" t="inlineStr">
        <is>
          <t>土豆、長生果、落花生</t>
        </is>
      </c>
      <c r="C95" s="8" t="inlineStr">
        <is>
          <t>熟</t>
        </is>
      </c>
      <c r="D95" s="8" t="inlineStr">
        <is>
          <t>堅果及種子類</t>
        </is>
      </c>
      <c r="E95" s="9" t="n">
        <v>555</v>
      </c>
      <c r="F95" s="9" t="n">
        <v>31.2</v>
      </c>
      <c r="G95" s="9" t="n">
        <v>43.9</v>
      </c>
      <c r="H95" s="9" t="n">
        <v>9.1</v>
      </c>
      <c r="I95" s="9" t="n">
        <v>0.04283</v>
      </c>
      <c r="J95" s="9" t="n">
        <v>19.5</v>
      </c>
      <c r="K95" s="9" t="n">
        <v>3.8</v>
      </c>
      <c r="L95" s="9" t="n">
        <v>645</v>
      </c>
      <c r="M95" s="8" t="inlineStr">
        <is>
          <t>食品營養成分資料庫 C1710101</t>
        </is>
      </c>
    </row>
    <row r="96">
      <c r="A96" s="8" t="inlineStr">
        <is>
          <t>檸檬(去皮)</t>
        </is>
      </c>
      <c r="B96" s="8" t="inlineStr">
        <is>
          <t>檸檬、生鮮檸檬</t>
        </is>
      </c>
      <c r="C96" s="8" t="n"/>
      <c r="D96" s="8" t="inlineStr">
        <is>
          <t>水果類</t>
        </is>
      </c>
      <c r="E96" s="9" t="n">
        <v>29</v>
      </c>
      <c r="F96" s="9" t="n">
        <v>1.1</v>
      </c>
      <c r="G96" s="9" t="n">
        <v>0.3</v>
      </c>
      <c r="H96" s="9" t="n">
        <v>0.039</v>
      </c>
      <c r="I96" s="9" t="n">
        <v>0</v>
      </c>
      <c r="J96" s="9" t="n">
        <v>9.32</v>
      </c>
      <c r="K96" s="9" t="n">
        <v>2.5</v>
      </c>
      <c r="L96" s="9" t="n">
        <v>2</v>
      </c>
      <c r="M96" s="8" t="inlineStr">
        <is>
          <t>USDA FoodData Central SR Legacy（2018-04 官方快照）；FDC 167746</t>
        </is>
      </c>
    </row>
    <row r="97">
      <c r="A97" s="8" t="inlineStr">
        <is>
          <t>草莓</t>
        </is>
      </c>
      <c r="B97" s="8" t="inlineStr">
        <is>
          <t>生鮮草莓</t>
        </is>
      </c>
      <c r="C97" s="8" t="n"/>
      <c r="D97" s="8" t="inlineStr">
        <is>
          <t>水果類</t>
        </is>
      </c>
      <c r="E97" s="9" t="n">
        <v>32</v>
      </c>
      <c r="F97" s="9" t="n">
        <v>0.67</v>
      </c>
      <c r="G97" s="9" t="n">
        <v>0.3</v>
      </c>
      <c r="H97" s="9" t="n">
        <v>0.015</v>
      </c>
      <c r="I97" s="9" t="n">
        <v>0</v>
      </c>
      <c r="J97" s="9" t="n">
        <v>7.68</v>
      </c>
      <c r="K97" s="9" t="n">
        <v>4.89</v>
      </c>
      <c r="L97" s="9" t="n">
        <v>1</v>
      </c>
      <c r="M97" s="8" t="inlineStr">
        <is>
          <t>USDA FoodData Central SR Legacy（2018-04 官方快照）；FDC 167762</t>
        </is>
      </c>
    </row>
    <row r="98">
      <c r="A98" s="8" t="inlineStr">
        <is>
          <t>蔓越莓乾</t>
        </is>
      </c>
      <c r="B98" s="8" t="inlineStr">
        <is>
          <t>蔓越莓果乾、甜味蔓越莓乾、dried cranberries</t>
        </is>
      </c>
      <c r="C98" s="8" t="n"/>
      <c r="D98" s="8" t="inlineStr">
        <is>
          <t>水果類</t>
        </is>
      </c>
      <c r="E98" s="9" t="n">
        <v>308</v>
      </c>
      <c r="F98" s="9" t="n">
        <v>0.17</v>
      </c>
      <c r="G98" s="9" t="n">
        <v>1.09</v>
      </c>
      <c r="H98" s="9" t="n">
        <v>0.08799999999999999</v>
      </c>
      <c r="I98" s="9" t="n">
        <v>0.003</v>
      </c>
      <c r="J98" s="9" t="n">
        <v>82.8</v>
      </c>
      <c r="K98" s="9" t="n">
        <v>72.59999999999999</v>
      </c>
      <c r="L98" s="9" t="n">
        <v>5</v>
      </c>
      <c r="M98" s="8" t="inlineStr">
        <is>
          <t>USDA FoodData Central SR Legacy（2018-04 官方快照）；FDC 171723</t>
        </is>
      </c>
    </row>
    <row r="99">
      <c r="A99" s="8" t="inlineStr">
        <is>
          <t>芭樂平均值(白肉)</t>
        </is>
      </c>
      <c r="B99" s="8" t="inlineStr">
        <is>
          <t>番石榴、芭樂、拔仔、扒仔、朳仔、那拔仔、藍拔</t>
        </is>
      </c>
      <c r="C99" s="8" t="n"/>
      <c r="D99" s="8" t="inlineStr">
        <is>
          <t>水果類</t>
        </is>
      </c>
      <c r="E99" s="9" t="n">
        <v>40</v>
      </c>
      <c r="F99" s="9" t="n">
        <v>0.7</v>
      </c>
      <c r="G99" s="9" t="n">
        <v>0.1</v>
      </c>
      <c r="H99" s="9" t="n">
        <v>0.1</v>
      </c>
      <c r="I99" s="9" t="n">
        <v>0</v>
      </c>
      <c r="J99" s="9" t="n">
        <v>10.2</v>
      </c>
      <c r="K99" s="9" t="n">
        <v>5.5</v>
      </c>
      <c r="L99" s="9" t="n">
        <v>1</v>
      </c>
      <c r="M99" s="8" t="inlineStr">
        <is>
          <t>食品營養成分資料庫 D15002</t>
        </is>
      </c>
    </row>
    <row r="100">
      <c r="A100" s="8" t="inlineStr">
        <is>
          <t>蓮霧平均值(粉紅色種)</t>
        </is>
      </c>
      <c r="B100" s="8" t="inlineStr">
        <is>
          <t>璉霧、輦霧、洋蒲桃</t>
        </is>
      </c>
      <c r="C100" s="8" t="inlineStr">
        <is>
          <t>粉紅色種</t>
        </is>
      </c>
      <c r="D100" s="8" t="inlineStr">
        <is>
          <t>水果類</t>
        </is>
      </c>
      <c r="E100" s="9" t="n">
        <v>39</v>
      </c>
      <c r="F100" s="9" t="n">
        <v>0.4</v>
      </c>
      <c r="G100" s="9" t="n">
        <v>0.3</v>
      </c>
      <c r="H100" s="9" t="n">
        <v>0.1</v>
      </c>
      <c r="I100" s="9" t="n">
        <v>0</v>
      </c>
      <c r="J100" s="9" t="n">
        <v>10</v>
      </c>
      <c r="K100" s="9" t="n">
        <v>7.8</v>
      </c>
      <c r="L100" s="9" t="n">
        <v>2</v>
      </c>
      <c r="M100" s="8" t="inlineStr">
        <is>
          <t>食品營養成分資料庫 D18001</t>
        </is>
      </c>
    </row>
    <row r="101">
      <c r="A101" s="8" t="inlineStr">
        <is>
          <t>甜瓜平均值(光皮洋香瓜)</t>
        </is>
      </c>
      <c r="B101" s="8" t="inlineStr">
        <is>
          <t>甜瓜、甘瓜、果瓜、香瓜、梨仔瓜、澎湖瓜、洋香瓜</t>
        </is>
      </c>
      <c r="C101" s="8" t="inlineStr">
        <is>
          <t>光皮洋香瓜種</t>
        </is>
      </c>
      <c r="D101" s="8" t="inlineStr">
        <is>
          <t>水果類</t>
        </is>
      </c>
      <c r="E101" s="9" t="n">
        <v>30</v>
      </c>
      <c r="F101" s="9" t="n">
        <v>0.9</v>
      </c>
      <c r="G101" s="9" t="n">
        <v>0.1</v>
      </c>
      <c r="H101" s="9" t="n">
        <v>0.1</v>
      </c>
      <c r="I101" s="9" t="n">
        <v>0</v>
      </c>
      <c r="J101" s="9" t="n">
        <v>7.2</v>
      </c>
      <c r="K101" s="9" t="n">
        <v>6</v>
      </c>
      <c r="L101" s="9" t="n">
        <v>13</v>
      </c>
      <c r="M101" s="8" t="inlineStr">
        <is>
          <t>食品營養成分資料庫 D20001</t>
        </is>
      </c>
    </row>
    <row r="102">
      <c r="A102" s="8" t="inlineStr">
        <is>
          <t>甜瓜平均值(網紋洋香瓜)</t>
        </is>
      </c>
      <c r="B102" s="8" t="inlineStr">
        <is>
          <t>甜瓜、甘瓜、果瓜、香瓜、梨仔瓜、澎湖瓜、洋香瓜、網仔瓜、哈蜜瓜</t>
        </is>
      </c>
      <c r="C102" s="8" t="inlineStr">
        <is>
          <t>網紋洋香瓜種</t>
        </is>
      </c>
      <c r="D102" s="8" t="inlineStr">
        <is>
          <t>水果類</t>
        </is>
      </c>
      <c r="E102" s="9" t="n">
        <v>37</v>
      </c>
      <c r="F102" s="9" t="n">
        <v>0.9</v>
      </c>
      <c r="G102" s="9" t="n">
        <v>0</v>
      </c>
      <c r="H102" s="9" t="n">
        <v>0</v>
      </c>
      <c r="I102" s="9" t="n">
        <v>0</v>
      </c>
      <c r="J102" s="9" t="n">
        <v>9.300000000000001</v>
      </c>
      <c r="K102" s="9" t="n">
        <v>6.8</v>
      </c>
      <c r="L102" s="9" t="n">
        <v>13</v>
      </c>
      <c r="M102" s="8" t="inlineStr">
        <is>
          <t>食品營養成分資料庫 D20004</t>
        </is>
      </c>
    </row>
    <row r="103">
      <c r="A103" s="8" t="inlineStr">
        <is>
          <t>李子平均值(紅皮黃肉)</t>
        </is>
      </c>
      <c r="B103" s="8" t="inlineStr">
        <is>
          <t>李子</t>
        </is>
      </c>
      <c r="C103" s="8" t="inlineStr">
        <is>
          <t>紅皮黃肉</t>
        </is>
      </c>
      <c r="D103" s="8" t="inlineStr">
        <is>
          <t>水果類</t>
        </is>
      </c>
      <c r="E103" s="9" t="n">
        <v>48</v>
      </c>
      <c r="F103" s="9" t="n">
        <v>0.7</v>
      </c>
      <c r="G103" s="9" t="n">
        <v>0.3</v>
      </c>
      <c r="H103" s="9" t="n">
        <v>0.1</v>
      </c>
      <c r="I103" s="9" t="n">
        <v>0</v>
      </c>
      <c r="J103" s="9" t="n">
        <v>11.9</v>
      </c>
      <c r="K103" s="9" t="n">
        <v>5.4</v>
      </c>
      <c r="L103" s="9" t="n">
        <v>1</v>
      </c>
      <c r="M103" s="8" t="inlineStr">
        <is>
          <t>食品營養成分資料庫 D24003</t>
        </is>
      </c>
    </row>
    <row r="104">
      <c r="A104" s="8" t="inlineStr">
        <is>
          <t>蘋果平均值(青皮)</t>
        </is>
      </c>
      <c r="B104" s="8" t="inlineStr">
        <is>
          <t>柰、林檎</t>
        </is>
      </c>
      <c r="C104" s="8" t="inlineStr">
        <is>
          <t>青皮</t>
        </is>
      </c>
      <c r="D104" s="8" t="inlineStr">
        <is>
          <t>水果類</t>
        </is>
      </c>
      <c r="E104" s="9" t="n">
        <v>50</v>
      </c>
      <c r="F104" s="9" t="n">
        <v>0.3</v>
      </c>
      <c r="G104" s="9" t="n">
        <v>0.2</v>
      </c>
      <c r="H104" s="9" t="n">
        <v>0.1</v>
      </c>
      <c r="I104" s="9" t="n">
        <v>0</v>
      </c>
      <c r="J104" s="9" t="n">
        <v>13.1</v>
      </c>
      <c r="K104" s="9" t="n">
        <v>10.7</v>
      </c>
      <c r="L104" s="9" t="n">
        <v>2</v>
      </c>
      <c r="M104" s="8" t="inlineStr">
        <is>
          <t>食品營養成分資料庫 D32001</t>
        </is>
      </c>
    </row>
    <row r="105">
      <c r="A105" s="8" t="inlineStr">
        <is>
          <t>甜橙平均值(普遍系)</t>
        </is>
      </c>
      <c r="B105" s="8" t="inlineStr">
        <is>
          <t>甜橙、柳橙、柳丁、印子柑、廣柑</t>
        </is>
      </c>
      <c r="C105" s="8" t="inlineStr">
        <is>
          <t>普遍系</t>
        </is>
      </c>
      <c r="D105" s="8" t="inlineStr">
        <is>
          <t>水果類</t>
        </is>
      </c>
      <c r="E105" s="9" t="n">
        <v>46</v>
      </c>
      <c r="F105" s="9" t="n">
        <v>0.8</v>
      </c>
      <c r="G105" s="9" t="n">
        <v>0.2</v>
      </c>
      <c r="H105" s="9" t="n">
        <v>0.1</v>
      </c>
      <c r="I105" s="9" t="n">
        <v>0</v>
      </c>
      <c r="J105" s="9" t="n">
        <v>11.3</v>
      </c>
      <c r="K105" s="9" t="n">
        <v>9.1</v>
      </c>
      <c r="L105" s="9" t="n">
        <v>3</v>
      </c>
      <c r="M105" s="8" t="inlineStr">
        <is>
          <t>食品營養成分資料庫 D36001</t>
        </is>
      </c>
    </row>
    <row r="106">
      <c r="A106" s="8" t="inlineStr">
        <is>
          <t>可可椰子汁平均值</t>
        </is>
      </c>
      <c r="B106" s="8" t="inlineStr">
        <is>
          <t>椰子汁、越王頭汁</t>
        </is>
      </c>
      <c r="C106" s="8" t="inlineStr">
        <is>
          <t>綠皮種</t>
        </is>
      </c>
      <c r="D106" s="8" t="inlineStr">
        <is>
          <t>水果類</t>
        </is>
      </c>
      <c r="E106" s="9" t="n">
        <v>17</v>
      </c>
      <c r="F106" s="9" t="n">
        <v>0.1</v>
      </c>
      <c r="G106" s="9" t="n">
        <v>0.1</v>
      </c>
      <c r="H106" s="9" t="n">
        <v>0.1</v>
      </c>
      <c r="I106" s="9" t="n">
        <v>0</v>
      </c>
      <c r="J106" s="9" t="n">
        <v>4.4</v>
      </c>
      <c r="K106" s="9" t="n">
        <v>3.4</v>
      </c>
      <c r="L106" s="9" t="n">
        <v>10</v>
      </c>
      <c r="M106" s="8" t="inlineStr">
        <is>
          <t>食品營養成分資料庫 D41301</t>
        </is>
      </c>
    </row>
    <row r="107">
      <c r="A107" s="8" t="inlineStr">
        <is>
          <t>百香果(台農一號)</t>
        </is>
      </c>
      <c r="B107" s="8" t="inlineStr">
        <is>
          <t>時計果、西番果</t>
        </is>
      </c>
      <c r="C107" s="8" t="n"/>
      <c r="D107" s="8" t="inlineStr">
        <is>
          <t>水果類</t>
        </is>
      </c>
      <c r="E107" s="9" t="n">
        <v>102</v>
      </c>
      <c r="F107" s="9" t="n">
        <v>2</v>
      </c>
      <c r="G107" s="9" t="n">
        <v>2.2</v>
      </c>
      <c r="H107" s="9" t="n">
        <v>0.3</v>
      </c>
      <c r="I107" s="9" t="n">
        <v>0</v>
      </c>
      <c r="J107" s="9" t="n">
        <v>21.3</v>
      </c>
      <c r="K107" s="9" t="n">
        <v>11.5</v>
      </c>
      <c r="L107" s="9" t="n">
        <v>2</v>
      </c>
      <c r="M107" s="8" t="inlineStr">
        <is>
          <t>食品營養成分資料庫 D0400101</t>
        </is>
      </c>
    </row>
    <row r="108">
      <c r="A108" s="8" t="inlineStr">
        <is>
          <t>蛋蕉(2023年取樣)</t>
        </is>
      </c>
      <c r="B108" s="8" t="inlineStr">
        <is>
          <t>旦蕉、一口蕉</t>
        </is>
      </c>
      <c r="C108" s="8" t="n"/>
      <c r="D108" s="8" t="inlineStr">
        <is>
          <t>水果類</t>
        </is>
      </c>
      <c r="E108" s="9" t="n">
        <v>87</v>
      </c>
      <c r="F108" s="9" t="n">
        <v>1.1</v>
      </c>
      <c r="G108" s="9" t="n">
        <v>0</v>
      </c>
      <c r="H108" s="9" t="n">
        <v>0</v>
      </c>
      <c r="I108" s="9" t="n">
        <v>0</v>
      </c>
      <c r="J108" s="9" t="n">
        <v>23.3</v>
      </c>
      <c r="K108" s="9" t="n">
        <v>18.3</v>
      </c>
      <c r="L108" s="9" t="n">
        <v>3</v>
      </c>
      <c r="M108" s="8" t="inlineStr">
        <is>
          <t>食品營養成分資料庫 D0801101</t>
        </is>
      </c>
    </row>
    <row r="109">
      <c r="A109" s="8" t="inlineStr">
        <is>
          <t>榴槤</t>
        </is>
      </c>
      <c r="B109" s="8" t="inlineStr">
        <is>
          <t>榴蓮、流連、山韶子</t>
        </is>
      </c>
      <c r="C109" s="8" t="n"/>
      <c r="D109" s="8" t="inlineStr">
        <is>
          <t>水果類</t>
        </is>
      </c>
      <c r="E109" s="9" t="n">
        <v>132</v>
      </c>
      <c r="F109" s="9" t="n">
        <v>2.7</v>
      </c>
      <c r="G109" s="9" t="n">
        <v>1.9</v>
      </c>
      <c r="H109" s="9" t="n">
        <v>0.7</v>
      </c>
      <c r="I109" s="9" t="n">
        <v>0.00589</v>
      </c>
      <c r="J109" s="9" t="n">
        <v>29.7</v>
      </c>
      <c r="K109" s="9" t="n">
        <v>18.4</v>
      </c>
      <c r="L109" s="9" t="n">
        <v>2</v>
      </c>
      <c r="M109" s="8" t="inlineStr">
        <is>
          <t>食品營養成分資料庫 D1000101</t>
        </is>
      </c>
    </row>
    <row r="110">
      <c r="A110" s="8" t="inlineStr">
        <is>
          <t>釋迦</t>
        </is>
      </c>
      <c r="B110" s="8" t="inlineStr">
        <is>
          <t>番荔枝、釋迦果、佛頭果、番梨</t>
        </is>
      </c>
      <c r="C110" s="8" t="n"/>
      <c r="D110" s="8" t="inlineStr">
        <is>
          <t>水果類</t>
        </is>
      </c>
      <c r="E110" s="9" t="n">
        <v>104</v>
      </c>
      <c r="F110" s="9" t="n">
        <v>2.2</v>
      </c>
      <c r="G110" s="9" t="n">
        <v>0.1</v>
      </c>
      <c r="H110" s="9" t="n">
        <v>0.1</v>
      </c>
      <c r="I110" s="9" t="n">
        <v>0</v>
      </c>
      <c r="J110" s="9" t="n">
        <v>26.6</v>
      </c>
      <c r="K110" s="9" t="n">
        <v>16</v>
      </c>
      <c r="L110" s="9" t="n">
        <v>7</v>
      </c>
      <c r="M110" s="8" t="inlineStr">
        <is>
          <t>食品營養成分資料庫 D1200101</t>
        </is>
      </c>
    </row>
    <row r="111">
      <c r="A111" s="8" t="inlineStr">
        <is>
          <t>番石榴(珍珠拔)(有機)</t>
        </is>
      </c>
      <c r="B111" s="8" t="inlineStr">
        <is>
          <t>牛乳芭樂、牛奶芭樂、芭樂、拔仔、扒仔、朳仔、那拔仔、藍拔</t>
        </is>
      </c>
      <c r="C111" s="8" t="n"/>
      <c r="D111" s="8" t="inlineStr">
        <is>
          <t>水果類</t>
        </is>
      </c>
      <c r="E111" s="9" t="n">
        <v>40</v>
      </c>
      <c r="F111" s="9" t="n">
        <v>0.6</v>
      </c>
      <c r="G111" s="9" t="n">
        <v>0.1</v>
      </c>
      <c r="H111" s="9" t="n">
        <v>0.1</v>
      </c>
      <c r="I111" s="9" t="n">
        <v>0</v>
      </c>
      <c r="J111" s="9" t="n">
        <v>10.4</v>
      </c>
      <c r="K111" s="9" t="n">
        <v>5.9</v>
      </c>
      <c r="L111" s="9" t="n">
        <v>0</v>
      </c>
      <c r="M111" s="8" t="inlineStr">
        <is>
          <t>食品營養成分資料庫 D1500201</t>
        </is>
      </c>
    </row>
    <row r="112">
      <c r="A112" s="8" t="inlineStr">
        <is>
          <t>葡萄乾</t>
        </is>
      </c>
      <c r="B112" s="8" t="n"/>
      <c r="C112" s="8" t="inlineStr">
        <is>
          <t>果乾(紅葡萄,無加糖)</t>
        </is>
      </c>
      <c r="D112" s="8" t="inlineStr">
        <is>
          <t>水果類</t>
        </is>
      </c>
      <c r="E112" s="9" t="n">
        <v>306</v>
      </c>
      <c r="F112" s="9" t="n">
        <v>3.2</v>
      </c>
      <c r="G112" s="9" t="n">
        <v>1.5</v>
      </c>
      <c r="H112" s="9" t="n">
        <v>0.2</v>
      </c>
      <c r="I112" s="9" t="n">
        <v>0</v>
      </c>
      <c r="J112" s="9" t="n">
        <v>78.7</v>
      </c>
      <c r="K112" s="9" t="n">
        <v>43.5</v>
      </c>
      <c r="L112" s="9" t="n">
        <v>14</v>
      </c>
      <c r="M112" s="8" t="inlineStr">
        <is>
          <t>食品營養成分資料庫 D1710101</t>
        </is>
      </c>
    </row>
    <row r="113">
      <c r="A113" s="8" t="inlineStr">
        <is>
          <t>蓮霧(黑珍珠)</t>
        </is>
      </c>
      <c r="B113" s="8" t="inlineStr">
        <is>
          <t>璉霧、輦霧、洋蒲桃、水蓊</t>
        </is>
      </c>
      <c r="C113" s="8" t="inlineStr">
        <is>
          <t>粉紅色種</t>
        </is>
      </c>
      <c r="D113" s="8" t="inlineStr">
        <is>
          <t>水果類</t>
        </is>
      </c>
      <c r="E113" s="9" t="n">
        <v>51</v>
      </c>
      <c r="F113" s="9" t="n">
        <v>0.3</v>
      </c>
      <c r="G113" s="9" t="n">
        <v>0.4</v>
      </c>
      <c r="H113" s="9" t="n">
        <v>0.3</v>
      </c>
      <c r="I113" s="9" t="n">
        <v>0</v>
      </c>
      <c r="J113" s="9" t="n">
        <v>13</v>
      </c>
      <c r="K113" s="9" t="n">
        <v>8.1</v>
      </c>
      <c r="L113" s="9" t="n">
        <v>3</v>
      </c>
      <c r="M113" s="8" t="inlineStr">
        <is>
          <t>食品營養成分資料庫 D1800103</t>
        </is>
      </c>
    </row>
    <row r="114">
      <c r="A114" s="8" t="inlineStr">
        <is>
          <t>小玉西瓜</t>
        </is>
      </c>
      <c r="B114" s="8" t="inlineStr">
        <is>
          <t>水瓜、寒瓜、夏瓜</t>
        </is>
      </c>
      <c r="C114" s="8" t="inlineStr">
        <is>
          <t>黃肉小瓜</t>
        </is>
      </c>
      <c r="D114" s="8" t="inlineStr">
        <is>
          <t>水果類</t>
        </is>
      </c>
      <c r="E114" s="9" t="n">
        <v>34</v>
      </c>
      <c r="F114" s="9" t="n">
        <v>0.8</v>
      </c>
      <c r="G114" s="9" t="n">
        <v>0.1</v>
      </c>
      <c r="H114" s="9" t="n">
        <v>0</v>
      </c>
      <c r="I114" s="9" t="n">
        <v>0</v>
      </c>
      <c r="J114" s="9" t="n">
        <v>8.699999999999999</v>
      </c>
      <c r="K114" s="9" t="n">
        <v>7.9</v>
      </c>
      <c r="L114" s="9" t="n">
        <v>2</v>
      </c>
      <c r="M114" s="8" t="inlineStr">
        <is>
          <t>食品營養成分資料庫 D1900401</t>
        </is>
      </c>
    </row>
    <row r="115">
      <c r="A115" s="8" t="inlineStr">
        <is>
          <t>蜜世界洋香瓜</t>
        </is>
      </c>
      <c r="B115" s="8" t="inlineStr">
        <is>
          <t>甜瓜、甘瓜、果瓜、香瓜、梨仔瓜、澎湖瓜、洋香瓜</t>
        </is>
      </c>
      <c r="C115" s="8" t="inlineStr">
        <is>
          <t>光皮洋香瓜種,長球形,白綠皮綠肉系</t>
        </is>
      </c>
      <c r="D115" s="8" t="inlineStr">
        <is>
          <t>水果類</t>
        </is>
      </c>
      <c r="E115" s="9" t="n">
        <v>29</v>
      </c>
      <c r="F115" s="9" t="n">
        <v>0.7</v>
      </c>
      <c r="G115" s="9" t="n">
        <v>0.1</v>
      </c>
      <c r="H115" s="9" t="n">
        <v>0.1</v>
      </c>
      <c r="I115" s="9" t="n">
        <v>0</v>
      </c>
      <c r="J115" s="9" t="n">
        <v>7.1</v>
      </c>
      <c r="K115" s="9" t="n">
        <v>6.6</v>
      </c>
      <c r="L115" s="9" t="n">
        <v>19</v>
      </c>
      <c r="M115" s="8" t="inlineStr">
        <is>
          <t>食品營養成分資料庫 D2000103</t>
        </is>
      </c>
    </row>
    <row r="116">
      <c r="A116" s="8" t="inlineStr">
        <is>
          <t>洋香瓜(卡蜜拉)</t>
        </is>
      </c>
      <c r="B116" s="8" t="inlineStr">
        <is>
          <t>網仔瓜、哈密瓜</t>
        </is>
      </c>
      <c r="C116" s="8" t="n"/>
      <c r="D116" s="8" t="inlineStr">
        <is>
          <t>水果類</t>
        </is>
      </c>
      <c r="E116" s="9" t="n">
        <v>38</v>
      </c>
      <c r="F116" s="9" t="n">
        <v>0.6</v>
      </c>
      <c r="G116" s="9" t="n">
        <v>0.2</v>
      </c>
      <c r="H116" s="9" t="n">
        <v>0.1</v>
      </c>
      <c r="I116" s="9" t="n">
        <v>0</v>
      </c>
      <c r="J116" s="9" t="n">
        <v>9.5</v>
      </c>
      <c r="K116" s="9" t="n">
        <v>8.5</v>
      </c>
      <c r="L116" s="9" t="n">
        <v>12</v>
      </c>
      <c r="M116" s="8" t="inlineStr">
        <is>
          <t>食品營養成分資料庫 D2000303</t>
        </is>
      </c>
    </row>
    <row r="117">
      <c r="A117" s="8" t="inlineStr">
        <is>
          <t>天香洋香瓜</t>
        </is>
      </c>
      <c r="B117" s="8" t="inlineStr">
        <is>
          <t>甜瓜、甘瓜、果瓜、香瓜、梨仔瓜、澎湖瓜、洋香瓜、網仔瓜、哈蜜瓜</t>
        </is>
      </c>
      <c r="C117" s="8" t="inlineStr">
        <is>
          <t>網紋洋香瓜種,綠肉系</t>
        </is>
      </c>
      <c r="D117" s="8" t="inlineStr">
        <is>
          <t>水果類</t>
        </is>
      </c>
      <c r="E117" s="9" t="n">
        <v>44</v>
      </c>
      <c r="F117" s="9" t="n">
        <v>0.8</v>
      </c>
      <c r="G117" s="9" t="n">
        <v>0</v>
      </c>
      <c r="H117" s="9" t="n">
        <v>0</v>
      </c>
      <c r="I117" s="9" t="n">
        <v>0</v>
      </c>
      <c r="J117" s="9" t="n">
        <v>11.6</v>
      </c>
      <c r="K117" s="9" t="n">
        <v>4.3</v>
      </c>
      <c r="L117" s="9" t="n">
        <v>9</v>
      </c>
      <c r="M117" s="8" t="inlineStr">
        <is>
          <t>食品營養成分資料庫 D2000402</t>
        </is>
      </c>
    </row>
    <row r="118">
      <c r="A118" s="8" t="inlineStr">
        <is>
          <t>芒果乾</t>
        </is>
      </c>
      <c r="B118" s="8" t="n"/>
      <c r="C118" s="8" t="inlineStr">
        <is>
          <t>果乾(無加糖)</t>
        </is>
      </c>
      <c r="D118" s="8" t="inlineStr">
        <is>
          <t>水果類</t>
        </is>
      </c>
      <c r="E118" s="9" t="n">
        <v>334</v>
      </c>
      <c r="F118" s="9" t="n">
        <v>0.6</v>
      </c>
      <c r="G118" s="9" t="n">
        <v>1</v>
      </c>
      <c r="H118" s="9" t="n">
        <v>0.3</v>
      </c>
      <c r="I118" s="9" t="n">
        <v>0</v>
      </c>
      <c r="J118" s="9" t="n">
        <v>90</v>
      </c>
      <c r="K118" s="9" t="n">
        <v>56.6</v>
      </c>
      <c r="L118" s="9" t="n">
        <v>219</v>
      </c>
      <c r="M118" s="8" t="inlineStr">
        <is>
          <t>食品營養成分資料庫 D2110101</t>
        </is>
      </c>
    </row>
    <row r="119">
      <c r="A119" s="8" t="inlineStr">
        <is>
          <t>龍眼</t>
        </is>
      </c>
      <c r="B119" s="8" t="inlineStr">
        <is>
          <t>桂圓、龍目、圓眼</t>
        </is>
      </c>
      <c r="C119" s="8" t="n"/>
      <c r="D119" s="8" t="inlineStr">
        <is>
          <t>水果類</t>
        </is>
      </c>
      <c r="E119" s="9" t="n">
        <v>72</v>
      </c>
      <c r="F119" s="9" t="n">
        <v>1.1</v>
      </c>
      <c r="G119" s="9" t="n">
        <v>0.4</v>
      </c>
      <c r="H119" s="9" t="n">
        <v>0.2</v>
      </c>
      <c r="I119" s="9" t="n">
        <v>0</v>
      </c>
      <c r="J119" s="9" t="n">
        <v>18</v>
      </c>
      <c r="K119" s="9" t="n">
        <v>15.2</v>
      </c>
      <c r="L119" s="9" t="n">
        <v>3</v>
      </c>
      <c r="M119" s="8" t="inlineStr">
        <is>
          <t>食品營養成分資料庫 D2300101</t>
        </is>
      </c>
    </row>
    <row r="120">
      <c r="A120" s="8" t="inlineStr">
        <is>
          <t>龍眼乾</t>
        </is>
      </c>
      <c r="B120" s="8" t="inlineStr">
        <is>
          <t>桂圓乾、龍目乾、圓眼乾</t>
        </is>
      </c>
      <c r="C120" s="8" t="inlineStr">
        <is>
          <t>果乾</t>
        </is>
      </c>
      <c r="D120" s="8" t="inlineStr">
        <is>
          <t>水果類</t>
        </is>
      </c>
      <c r="E120" s="9" t="n">
        <v>276</v>
      </c>
      <c r="F120" s="9" t="n">
        <v>5.1</v>
      </c>
      <c r="G120" s="9" t="n">
        <v>0.5</v>
      </c>
      <c r="H120" s="9" t="n">
        <v>0.3</v>
      </c>
      <c r="I120" s="9" t="n">
        <v>0</v>
      </c>
      <c r="J120" s="9" t="n">
        <v>70.90000000000001</v>
      </c>
      <c r="K120" s="9" t="n">
        <v>51.4</v>
      </c>
      <c r="L120" s="9" t="n">
        <v>5</v>
      </c>
      <c r="M120" s="8" t="inlineStr">
        <is>
          <t>食品營養成分資料庫 D2310101</t>
        </is>
      </c>
    </row>
    <row r="121">
      <c r="A121" s="8" t="inlineStr">
        <is>
          <t>桃接李(小)</t>
        </is>
      </c>
      <c r="B121" s="8" t="inlineStr">
        <is>
          <t>李子</t>
        </is>
      </c>
      <c r="C121" s="8" t="inlineStr">
        <is>
          <t>紅皮黃肉</t>
        </is>
      </c>
      <c r="D121" s="8" t="inlineStr">
        <is>
          <t>水果類</t>
        </is>
      </c>
      <c r="E121" s="9" t="n">
        <v>36</v>
      </c>
      <c r="F121" s="9" t="n">
        <v>0.7</v>
      </c>
      <c r="G121" s="9" t="n">
        <v>0.3</v>
      </c>
      <c r="H121" s="9" t="n">
        <v>0.1</v>
      </c>
      <c r="I121" s="9" t="n">
        <v>0</v>
      </c>
      <c r="J121" s="9" t="n">
        <v>8.6</v>
      </c>
      <c r="K121" s="9" t="n">
        <v>5.3</v>
      </c>
      <c r="L121" s="9" t="n">
        <v>0</v>
      </c>
      <c r="M121" s="8" t="inlineStr">
        <is>
          <t>食品營養成分資料庫 D2400306</t>
        </is>
      </c>
    </row>
    <row r="122">
      <c r="A122" s="8" t="inlineStr">
        <is>
          <t>國產甜柿</t>
        </is>
      </c>
      <c r="B122" s="8" t="inlineStr">
        <is>
          <t>柿子、柹、香柿</t>
        </is>
      </c>
      <c r="C122" s="8" t="n"/>
      <c r="D122" s="8" t="inlineStr">
        <is>
          <t>水果類</t>
        </is>
      </c>
      <c r="E122" s="9" t="n">
        <v>47</v>
      </c>
      <c r="F122" s="9" t="n">
        <v>0.4</v>
      </c>
      <c r="G122" s="9" t="n">
        <v>0.1</v>
      </c>
      <c r="H122" s="9" t="n">
        <v>0</v>
      </c>
      <c r="I122" s="9" t="n">
        <v>0</v>
      </c>
      <c r="J122" s="9" t="n">
        <v>12.7</v>
      </c>
      <c r="K122" s="9" t="n">
        <v>11.6</v>
      </c>
      <c r="L122" s="9" t="n">
        <v>0</v>
      </c>
      <c r="M122" s="8" t="inlineStr">
        <is>
          <t>食品營養成分資料庫 D2700203</t>
        </is>
      </c>
    </row>
    <row r="123">
      <c r="A123" s="8" t="inlineStr">
        <is>
          <t>梨山蜜梨</t>
        </is>
      </c>
      <c r="B123" s="8" t="inlineStr">
        <is>
          <t>梨子、水梨、山褵、快果、果宗</t>
        </is>
      </c>
      <c r="C123" s="8" t="inlineStr">
        <is>
          <t>高接梨</t>
        </is>
      </c>
      <c r="D123" s="8" t="inlineStr">
        <is>
          <t>水果類</t>
        </is>
      </c>
      <c r="E123" s="9" t="n">
        <v>47</v>
      </c>
      <c r="F123" s="9" t="n">
        <v>0.3</v>
      </c>
      <c r="G123" s="9" t="n">
        <v>0</v>
      </c>
      <c r="H123" s="9" t="n">
        <v>0</v>
      </c>
      <c r="I123" s="9" t="n">
        <v>0</v>
      </c>
      <c r="J123" s="9" t="n">
        <v>12.7</v>
      </c>
      <c r="K123" s="9" t="n">
        <v>8.199999999999999</v>
      </c>
      <c r="L123" s="9" t="n">
        <v>0</v>
      </c>
      <c r="M123" s="8" t="inlineStr">
        <is>
          <t>食品營養成分資料庫 D3000302</t>
        </is>
      </c>
    </row>
    <row r="124">
      <c r="A124" s="8" t="inlineStr">
        <is>
          <t>珍珠蜜棗</t>
        </is>
      </c>
      <c r="B124" s="8" t="inlineStr">
        <is>
          <t>棗子、棗仔</t>
        </is>
      </c>
      <c r="C124" s="8" t="inlineStr">
        <is>
          <t>小印度棗</t>
        </is>
      </c>
      <c r="D124" s="8" t="inlineStr">
        <is>
          <t>水果類</t>
        </is>
      </c>
      <c r="E124" s="9" t="n">
        <v>46</v>
      </c>
      <c r="F124" s="9" t="n">
        <v>1.1</v>
      </c>
      <c r="G124" s="9" t="n">
        <v>0</v>
      </c>
      <c r="H124" s="9" t="n">
        <v>0</v>
      </c>
      <c r="I124" s="9" t="n">
        <v>0</v>
      </c>
      <c r="J124" s="9" t="n">
        <v>11.7</v>
      </c>
      <c r="K124" s="9" t="n">
        <v>10.4</v>
      </c>
      <c r="L124" s="9" t="n">
        <v>1</v>
      </c>
      <c r="M124" s="8" t="inlineStr">
        <is>
          <t>食品營養成分資料庫 D3100201</t>
        </is>
      </c>
    </row>
    <row r="125">
      <c r="A125" s="8" t="inlineStr">
        <is>
          <t>國產紅棗</t>
        </is>
      </c>
      <c r="B125" s="8" t="inlineStr">
        <is>
          <t>紅棗</t>
        </is>
      </c>
      <c r="C125" s="8" t="inlineStr">
        <is>
          <t>紅棗,綠皮帶紅</t>
        </is>
      </c>
      <c r="D125" s="8" t="inlineStr">
        <is>
          <t>水果類</t>
        </is>
      </c>
      <c r="E125" s="9" t="n">
        <v>87</v>
      </c>
      <c r="F125" s="9" t="n">
        <v>0.9</v>
      </c>
      <c r="G125" s="9" t="n">
        <v>0.1</v>
      </c>
      <c r="H125" s="9" t="n">
        <v>0.1</v>
      </c>
      <c r="I125" s="9" t="n">
        <v>0</v>
      </c>
      <c r="J125" s="9" t="n">
        <v>23.1</v>
      </c>
      <c r="K125" s="9" t="n">
        <v>16.1</v>
      </c>
      <c r="L125" s="9" t="n">
        <v>1</v>
      </c>
      <c r="M125" s="8" t="inlineStr">
        <is>
          <t>食品營養成分資料庫 D3100301</t>
        </is>
      </c>
    </row>
    <row r="126">
      <c r="A126" s="8" t="inlineStr">
        <is>
          <t>青龍蘋果</t>
        </is>
      </c>
      <c r="B126" s="8" t="inlineStr">
        <is>
          <t>柰、林檎、青蘋果</t>
        </is>
      </c>
      <c r="C126" s="8" t="inlineStr">
        <is>
          <t>青皮</t>
        </is>
      </c>
      <c r="D126" s="8" t="inlineStr">
        <is>
          <t>水果類</t>
        </is>
      </c>
      <c r="E126" s="9" t="n">
        <v>54</v>
      </c>
      <c r="F126" s="9" t="n">
        <v>0.3</v>
      </c>
      <c r="G126" s="9" t="n">
        <v>0.3</v>
      </c>
      <c r="H126" s="9" t="n">
        <v>0.2</v>
      </c>
      <c r="I126" s="9" t="n">
        <v>0</v>
      </c>
      <c r="J126" s="9" t="n">
        <v>14</v>
      </c>
      <c r="K126" s="9" t="n">
        <v>11.7</v>
      </c>
      <c r="L126" s="9" t="n">
        <v>1</v>
      </c>
      <c r="M126" s="8" t="inlineStr">
        <is>
          <t>食品營養成分資料庫 D3200101</t>
        </is>
      </c>
    </row>
    <row r="127">
      <c r="A127" s="8" t="inlineStr">
        <is>
          <t>砂糖橘</t>
        </is>
      </c>
      <c r="B127" s="8" t="inlineStr">
        <is>
          <t>十月桔、沙糖桔、沙糖橘、砂糖桔</t>
        </is>
      </c>
      <c r="C127" s="8" t="n"/>
      <c r="D127" s="8" t="inlineStr">
        <is>
          <t>水果類</t>
        </is>
      </c>
      <c r="E127" s="9" t="n">
        <v>50</v>
      </c>
      <c r="F127" s="9" t="n">
        <v>0.7</v>
      </c>
      <c r="G127" s="9" t="n">
        <v>0.3</v>
      </c>
      <c r="H127" s="9" t="n">
        <v>0.1</v>
      </c>
      <c r="I127" s="9" t="n">
        <v>0</v>
      </c>
      <c r="J127" s="9" t="n">
        <v>12.6</v>
      </c>
      <c r="K127" s="9" t="n">
        <v>9.300000000000001</v>
      </c>
      <c r="L127" s="9" t="n">
        <v>3</v>
      </c>
      <c r="M127" s="8" t="inlineStr">
        <is>
          <t>食品營養成分資料庫 D3400206</t>
        </is>
      </c>
    </row>
    <row r="128">
      <c r="A128" s="8" t="inlineStr">
        <is>
          <t>圓果金柑汁(綠皮)</t>
        </is>
      </c>
      <c r="B128" s="8" t="inlineStr">
        <is>
          <t>金桔、金橘、桔子</t>
        </is>
      </c>
      <c r="C128" s="8" t="inlineStr">
        <is>
          <t>現榨原汁</t>
        </is>
      </c>
      <c r="D128" s="8" t="inlineStr">
        <is>
          <t>水果類</t>
        </is>
      </c>
      <c r="E128" s="9" t="n">
        <v>32</v>
      </c>
      <c r="F128" s="9" t="n">
        <v>0.9</v>
      </c>
      <c r="G128" s="9" t="n">
        <v>0.1</v>
      </c>
      <c r="H128" s="9" t="n">
        <v>0</v>
      </c>
      <c r="I128" s="9" t="n">
        <v>0</v>
      </c>
      <c r="J128" s="9" t="n">
        <v>8</v>
      </c>
      <c r="K128" s="9" t="n">
        <v>1.4</v>
      </c>
      <c r="L128" s="9" t="n">
        <v>1</v>
      </c>
      <c r="M128" s="8" t="inlineStr">
        <is>
          <t>食品營養成分資料庫 D3400303</t>
        </is>
      </c>
    </row>
    <row r="129">
      <c r="A129" s="8" t="inlineStr">
        <is>
          <t>文旦(2023年取樣)</t>
        </is>
      </c>
      <c r="B129" s="8" t="inlineStr">
        <is>
          <t>麻豆文旦、文旦柚</t>
        </is>
      </c>
      <c r="C129" s="8" t="n"/>
      <c r="D129" s="8" t="inlineStr">
        <is>
          <t>水果類</t>
        </is>
      </c>
      <c r="E129" s="9" t="n">
        <v>48</v>
      </c>
      <c r="F129" s="9" t="n">
        <v>0.6</v>
      </c>
      <c r="G129" s="9" t="n">
        <v>0</v>
      </c>
      <c r="H129" s="9" t="n">
        <v>0</v>
      </c>
      <c r="I129" s="9" t="n">
        <v>0</v>
      </c>
      <c r="J129" s="9" t="n">
        <v>12.7</v>
      </c>
      <c r="K129" s="9" t="n">
        <v>10</v>
      </c>
      <c r="L129" s="9" t="n">
        <v>1</v>
      </c>
      <c r="M129" s="8" t="inlineStr">
        <is>
          <t>食品營養成分資料庫 D3500102</t>
        </is>
      </c>
    </row>
    <row r="130">
      <c r="A130" s="8" t="inlineStr">
        <is>
          <t>白柚</t>
        </is>
      </c>
      <c r="B130" s="8" t="inlineStr">
        <is>
          <t>柚子、內紫、朱欒、香欒、座凡、拋、欒</t>
        </is>
      </c>
      <c r="C130" s="8" t="n"/>
      <c r="D130" s="8" t="inlineStr">
        <is>
          <t>水果類</t>
        </is>
      </c>
      <c r="E130" s="9" t="n">
        <v>37</v>
      </c>
      <c r="F130" s="9" t="n">
        <v>0.6</v>
      </c>
      <c r="G130" s="9" t="n">
        <v>0.1</v>
      </c>
      <c r="H130" s="9" t="n">
        <v>0.1</v>
      </c>
      <c r="I130" s="9" t="n">
        <v>0</v>
      </c>
      <c r="J130" s="9" t="n">
        <v>9.6</v>
      </c>
      <c r="K130" s="9" t="n">
        <v>8.1</v>
      </c>
      <c r="L130" s="9" t="n">
        <v>7</v>
      </c>
      <c r="M130" s="8" t="inlineStr">
        <is>
          <t>食品營養成分資料庫 D3500201</t>
        </is>
      </c>
    </row>
    <row r="131">
      <c r="A131" s="8" t="inlineStr">
        <is>
          <t>柳橙</t>
        </is>
      </c>
      <c r="B131" s="8" t="inlineStr">
        <is>
          <t>甜橙、柳丁、印子柑、廣柑</t>
        </is>
      </c>
      <c r="C131" s="8" t="inlineStr">
        <is>
          <t>普遍系</t>
        </is>
      </c>
      <c r="D131" s="8" t="inlineStr">
        <is>
          <t>水果類</t>
        </is>
      </c>
      <c r="E131" s="9" t="n">
        <v>44</v>
      </c>
      <c r="F131" s="9" t="n">
        <v>0.8</v>
      </c>
      <c r="G131" s="9" t="n">
        <v>0.1</v>
      </c>
      <c r="H131" s="9" t="n">
        <v>0.1</v>
      </c>
      <c r="I131" s="9" t="n">
        <v>0</v>
      </c>
      <c r="J131" s="9" t="n">
        <v>11</v>
      </c>
      <c r="K131" s="9" t="n">
        <v>8.6</v>
      </c>
      <c r="L131" s="9" t="n">
        <v>5</v>
      </c>
      <c r="M131" s="8" t="inlineStr">
        <is>
          <t>食品營養成分資料庫 D3600101</t>
        </is>
      </c>
    </row>
    <row r="132">
      <c r="A132" s="8" t="inlineStr">
        <is>
          <t>黃皮葡萄柚</t>
        </is>
      </c>
      <c r="B132" s="8" t="inlineStr">
        <is>
          <t>西柚、朱欒</t>
        </is>
      </c>
      <c r="C132" s="8" t="inlineStr">
        <is>
          <t>黃皮粉紅肉</t>
        </is>
      </c>
      <c r="D132" s="8" t="inlineStr">
        <is>
          <t>水果類</t>
        </is>
      </c>
      <c r="E132" s="9" t="n">
        <v>37</v>
      </c>
      <c r="F132" s="9" t="n">
        <v>0.7</v>
      </c>
      <c r="G132" s="9" t="n">
        <v>0.2</v>
      </c>
      <c r="H132" s="9" t="n">
        <v>0.1</v>
      </c>
      <c r="I132" s="9" t="n">
        <v>0</v>
      </c>
      <c r="J132" s="9" t="n">
        <v>9.199999999999999</v>
      </c>
      <c r="K132" s="9" t="n">
        <v>6.4</v>
      </c>
      <c r="L132" s="9" t="n">
        <v>4</v>
      </c>
      <c r="M132" s="8" t="inlineStr">
        <is>
          <t>食品營養成分資料庫 D3700401</t>
        </is>
      </c>
    </row>
    <row r="133">
      <c r="A133" s="8" t="inlineStr">
        <is>
          <t>紅甘蔗汁(有機,2023年取樣)</t>
        </is>
      </c>
      <c r="B133" s="8" t="inlineStr">
        <is>
          <t>甘蔗汁、高貴蔗汁、果蔗汁、干蔗汁、薯蔗汁、竹蔗汁</t>
        </is>
      </c>
      <c r="C133" s="8" t="inlineStr">
        <is>
          <t>冷凍瓶裝</t>
        </is>
      </c>
      <c r="D133" s="8" t="inlineStr">
        <is>
          <t>水果類</t>
        </is>
      </c>
      <c r="E133" s="9" t="n">
        <v>72</v>
      </c>
      <c r="F133" s="9" t="n">
        <v>0.2</v>
      </c>
      <c r="G133" s="9" t="n">
        <v>0.4</v>
      </c>
      <c r="H133" s="9" t="n">
        <v>0.2</v>
      </c>
      <c r="I133" s="9" t="n">
        <v>0</v>
      </c>
      <c r="J133" s="9" t="n">
        <v>18.8</v>
      </c>
      <c r="K133" s="9" t="n">
        <v>16.7</v>
      </c>
      <c r="L133" s="9" t="n">
        <v>0</v>
      </c>
      <c r="M133" s="8" t="inlineStr">
        <is>
          <t>食品營養成分資料庫 D3930102</t>
        </is>
      </c>
    </row>
    <row r="134">
      <c r="A134" s="8" t="inlineStr">
        <is>
          <t>可可椰子汁(屏東)</t>
        </is>
      </c>
      <c r="B134" s="8" t="inlineStr">
        <is>
          <t>椰子汁、越王頭汁</t>
        </is>
      </c>
      <c r="C134" s="8" t="inlineStr">
        <is>
          <t>綠皮種</t>
        </is>
      </c>
      <c r="D134" s="8" t="inlineStr">
        <is>
          <t>水果類</t>
        </is>
      </c>
      <c r="E134" s="9" t="n">
        <v>16</v>
      </c>
      <c r="F134" s="9" t="n">
        <v>0.1</v>
      </c>
      <c r="G134" s="9" t="n">
        <v>0.2</v>
      </c>
      <c r="H134" s="9" t="n">
        <v>0.2</v>
      </c>
      <c r="I134" s="9" t="n">
        <v>0</v>
      </c>
      <c r="J134" s="9" t="n">
        <v>3.8</v>
      </c>
      <c r="K134" s="9" t="n">
        <v>3.4</v>
      </c>
      <c r="L134" s="9" t="n">
        <v>3</v>
      </c>
      <c r="M134" s="8" t="inlineStr">
        <is>
          <t>食品營養成分資料庫 D4130101</t>
        </is>
      </c>
    </row>
    <row r="135">
      <c r="A135" s="8" t="inlineStr">
        <is>
          <t>無花果</t>
        </is>
      </c>
      <c r="B135" s="8" t="n"/>
      <c r="C135" s="8" t="n"/>
      <c r="D135" s="8" t="inlineStr">
        <is>
          <t>水果類</t>
        </is>
      </c>
      <c r="E135" s="9" t="n">
        <v>67</v>
      </c>
      <c r="F135" s="9" t="n">
        <v>1.2</v>
      </c>
      <c r="G135" s="9" t="n">
        <v>0.4</v>
      </c>
      <c r="H135" s="9" t="n">
        <v>0.2</v>
      </c>
      <c r="I135" s="9" t="n">
        <v>0</v>
      </c>
      <c r="J135" s="9" t="n">
        <v>16.5</v>
      </c>
      <c r="K135" s="9" t="n">
        <v>6.1</v>
      </c>
      <c r="L135" s="9" t="n">
        <v>9</v>
      </c>
      <c r="M135" s="8" t="inlineStr">
        <is>
          <t>食品營養成分資料庫 D4400101</t>
        </is>
      </c>
    </row>
    <row r="136">
      <c r="A136" s="8" t="inlineStr">
        <is>
          <t>黃金果</t>
        </is>
      </c>
      <c r="B136" s="8" t="inlineStr">
        <is>
          <t>黃晶果</t>
        </is>
      </c>
      <c r="C136" s="8" t="n"/>
      <c r="D136" s="8" t="inlineStr">
        <is>
          <t>水果類</t>
        </is>
      </c>
      <c r="E136" s="9" t="n">
        <v>44</v>
      </c>
      <c r="F136" s="9" t="n">
        <v>0.9</v>
      </c>
      <c r="G136" s="9" t="n">
        <v>0.2</v>
      </c>
      <c r="H136" s="9" t="n">
        <v>0.1</v>
      </c>
      <c r="I136" s="9" t="n">
        <v>0</v>
      </c>
      <c r="J136" s="9" t="n">
        <v>11</v>
      </c>
      <c r="K136" s="9" t="n">
        <v>10.5</v>
      </c>
      <c r="L136" s="9" t="n">
        <v>0</v>
      </c>
      <c r="M136" s="8" t="inlineStr">
        <is>
          <t>食品營養成分資料庫 D4500101</t>
        </is>
      </c>
    </row>
    <row r="137">
      <c r="A137" s="8" t="inlineStr">
        <is>
          <t>菠蘿蜜</t>
        </is>
      </c>
      <c r="B137" s="8" t="inlineStr">
        <is>
          <t>天波羅、樹波羅</t>
        </is>
      </c>
      <c r="C137" s="8" t="inlineStr">
        <is>
          <t>果肉,冷凍袋裝</t>
        </is>
      </c>
      <c r="D137" s="8" t="inlineStr">
        <is>
          <t>水果類</t>
        </is>
      </c>
      <c r="E137" s="9" t="n">
        <v>108</v>
      </c>
      <c r="F137" s="9" t="n">
        <v>1</v>
      </c>
      <c r="G137" s="9" t="n">
        <v>0.2</v>
      </c>
      <c r="H137" s="9" t="n">
        <v>0.1</v>
      </c>
      <c r="I137" s="9" t="n">
        <v>0</v>
      </c>
      <c r="J137" s="9" t="n">
        <v>28.4</v>
      </c>
      <c r="K137" s="9" t="n">
        <v>23.7</v>
      </c>
      <c r="L137" s="9" t="n">
        <v>0</v>
      </c>
      <c r="M137" s="8" t="inlineStr">
        <is>
          <t>食品營養成分資料庫 D4600101</t>
        </is>
      </c>
    </row>
    <row r="138">
      <c r="A138" s="8" t="inlineStr">
        <is>
          <t>榴槤蜜</t>
        </is>
      </c>
      <c r="B138" s="8" t="inlineStr">
        <is>
          <t>尖百達、尖蜜拉、小樹菠蘿、小波羅蜜</t>
        </is>
      </c>
      <c r="C138" s="8" t="n"/>
      <c r="D138" s="8" t="inlineStr">
        <is>
          <t>水果類</t>
        </is>
      </c>
      <c r="E138" s="9" t="n">
        <v>124</v>
      </c>
      <c r="F138" s="9" t="n">
        <v>1.6</v>
      </c>
      <c r="G138" s="9" t="n">
        <v>0.1</v>
      </c>
      <c r="H138" s="9" t="n">
        <v>0.1</v>
      </c>
      <c r="I138" s="9" t="n">
        <v>0</v>
      </c>
      <c r="J138" s="9" t="n">
        <v>32.6</v>
      </c>
      <c r="K138" s="9" t="n">
        <v>21.4</v>
      </c>
      <c r="L138" s="9" t="n">
        <v>0</v>
      </c>
      <c r="M138" s="8" t="inlineStr">
        <is>
          <t>食品營養成分資料庫 D4600201</t>
        </is>
      </c>
    </row>
    <row r="139">
      <c r="A139" s="8" t="inlineStr">
        <is>
          <t>牛奶果</t>
        </is>
      </c>
      <c r="B139" s="8" t="inlineStr">
        <is>
          <t>星蘋果</t>
        </is>
      </c>
      <c r="C139" s="8" t="n"/>
      <c r="D139" s="8" t="inlineStr">
        <is>
          <t>水果類</t>
        </is>
      </c>
      <c r="E139" s="9" t="n">
        <v>62</v>
      </c>
      <c r="F139" s="9" t="n">
        <v>0.8</v>
      </c>
      <c r="G139" s="9" t="n">
        <v>0.3</v>
      </c>
      <c r="H139" s="9" t="n">
        <v>0.2</v>
      </c>
      <c r="I139" s="9" t="n">
        <v>0</v>
      </c>
      <c r="J139" s="9" t="n">
        <v>15.8</v>
      </c>
      <c r="K139" s="9" t="n">
        <v>12.8</v>
      </c>
      <c r="L139" s="9" t="n">
        <v>3</v>
      </c>
      <c r="M139" s="8" t="inlineStr">
        <is>
          <t>食品營養成分資料庫 D4700101</t>
        </is>
      </c>
    </row>
    <row r="140">
      <c r="A140" s="8" t="inlineStr">
        <is>
          <t>餘甘子</t>
        </is>
      </c>
      <c r="B140" s="8" t="inlineStr">
        <is>
          <t>油柑、油甘</t>
        </is>
      </c>
      <c r="C140" s="8" t="n"/>
      <c r="D140" s="8" t="inlineStr">
        <is>
          <t>水果類</t>
        </is>
      </c>
      <c r="E140" s="9" t="n">
        <v>43</v>
      </c>
      <c r="F140" s="9" t="n">
        <v>0.3</v>
      </c>
      <c r="G140" s="9" t="n">
        <v>0.3</v>
      </c>
      <c r="H140" s="9" t="n">
        <v>0.2</v>
      </c>
      <c r="I140" s="9" t="n">
        <v>0</v>
      </c>
      <c r="J140" s="9" t="n">
        <v>10.8</v>
      </c>
      <c r="K140" s="9" t="n">
        <v>2.7</v>
      </c>
      <c r="L140" s="9" t="n">
        <v>2</v>
      </c>
      <c r="M140" s="8" t="inlineStr">
        <is>
          <t>食品營養成分資料庫 D4800101</t>
        </is>
      </c>
    </row>
    <row r="141">
      <c r="A141" s="8" t="inlineStr">
        <is>
          <t>嘉寶果</t>
        </is>
      </c>
      <c r="B141" s="8" t="inlineStr">
        <is>
          <t>樹葡萄</t>
        </is>
      </c>
      <c r="C141" s="8" t="n"/>
      <c r="D141" s="8" t="inlineStr">
        <is>
          <t>水果類</t>
        </is>
      </c>
      <c r="E141" s="9" t="n">
        <v>59</v>
      </c>
      <c r="F141" s="9" t="n">
        <v>0.3</v>
      </c>
      <c r="G141" s="9" t="n">
        <v>0.3</v>
      </c>
      <c r="H141" s="9" t="n">
        <v>0.1</v>
      </c>
      <c r="I141" s="9" t="n">
        <v>0</v>
      </c>
      <c r="J141" s="9" t="n">
        <v>15.3</v>
      </c>
      <c r="K141" s="9" t="n">
        <v>14</v>
      </c>
      <c r="L141" s="9" t="n">
        <v>0</v>
      </c>
      <c r="M141" s="8" t="inlineStr">
        <is>
          <t>食品營養成分資料庫 D4900101</t>
        </is>
      </c>
    </row>
    <row r="142">
      <c r="A142" s="8" t="inlineStr">
        <is>
          <t>藍莓(台灣)</t>
        </is>
      </c>
      <c r="B142" s="8" t="n"/>
      <c r="C142" s="8" t="inlineStr">
        <is>
          <t>冷藏盒裝</t>
        </is>
      </c>
      <c r="D142" s="8" t="inlineStr">
        <is>
          <t>水果類</t>
        </is>
      </c>
      <c r="E142" s="9" t="n">
        <v>53</v>
      </c>
      <c r="F142" s="9" t="n">
        <v>0.5</v>
      </c>
      <c r="G142" s="9" t="n">
        <v>0.3</v>
      </c>
      <c r="H142" s="9" t="n">
        <v>0.1</v>
      </c>
      <c r="I142" s="9" t="n">
        <v>0</v>
      </c>
      <c r="J142" s="9" t="n">
        <v>13.6</v>
      </c>
      <c r="K142" s="9" t="n">
        <v>9.1</v>
      </c>
      <c r="L142" s="9" t="n">
        <v>0</v>
      </c>
      <c r="M142" s="8" t="inlineStr">
        <is>
          <t>食品營養成分資料庫 D5000101</t>
        </is>
      </c>
    </row>
    <row r="143">
      <c r="A143" s="8" t="inlineStr">
        <is>
          <t>綠蘆筍平均值</t>
        </is>
      </c>
      <c r="B143" s="8" t="inlineStr">
        <is>
          <t>野天門冬、松葉土當歸、石刁柏、龍鬚菜</t>
        </is>
      </c>
      <c r="C143" s="8" t="inlineStr">
        <is>
          <t>生</t>
        </is>
      </c>
      <c r="D143" s="8" t="inlineStr">
        <is>
          <t>蔬菜類</t>
        </is>
      </c>
      <c r="E143" s="9" t="n">
        <v>22</v>
      </c>
      <c r="F143" s="9" t="n">
        <v>2.7</v>
      </c>
      <c r="G143" s="9" t="n">
        <v>0.2</v>
      </c>
      <c r="H143" s="9" t="n">
        <v>0.1</v>
      </c>
      <c r="I143" s="9" t="n">
        <v>0</v>
      </c>
      <c r="J143" s="9" t="n">
        <v>3.5</v>
      </c>
      <c r="K143" s="9" t="n">
        <v>1.7</v>
      </c>
      <c r="L143" s="9" t="n">
        <v>4</v>
      </c>
      <c r="M143" s="8" t="inlineStr">
        <is>
          <t>食品營養成分資料庫 E17002</t>
        </is>
      </c>
    </row>
    <row r="144">
      <c r="A144" s="8" t="inlineStr">
        <is>
          <t>青蔥平均值</t>
        </is>
      </c>
      <c r="B144" s="8" t="n"/>
      <c r="C144" s="8" t="inlineStr">
        <is>
          <t>生</t>
        </is>
      </c>
      <c r="D144" s="8" t="inlineStr">
        <is>
          <t>蔬菜類</t>
        </is>
      </c>
      <c r="E144" s="9" t="n">
        <v>31</v>
      </c>
      <c r="F144" s="9" t="n">
        <v>1.3</v>
      </c>
      <c r="G144" s="9" t="n">
        <v>0.2</v>
      </c>
      <c r="H144" s="9" t="n">
        <v>0.1</v>
      </c>
      <c r="I144" s="9" t="n">
        <v>0</v>
      </c>
      <c r="J144" s="9" t="n">
        <v>6.6</v>
      </c>
      <c r="K144" s="9" t="n">
        <v>3.1</v>
      </c>
      <c r="L144" s="9" t="n">
        <v>1</v>
      </c>
      <c r="M144" s="8" t="inlineStr">
        <is>
          <t>食品營養成分資料庫 E23001</t>
        </is>
      </c>
    </row>
    <row r="145">
      <c r="A145" s="8" t="inlineStr">
        <is>
          <t>結球白菜平均值</t>
        </is>
      </c>
      <c r="B145" s="8" t="inlineStr">
        <is>
          <t>大白菜、黃芽菜、包心白菜、卷心白菜、山東白菜、結球白菜</t>
        </is>
      </c>
      <c r="C145" s="8" t="inlineStr">
        <is>
          <t>生,結球白菜</t>
        </is>
      </c>
      <c r="D145" s="8" t="inlineStr">
        <is>
          <t>蔬菜類</t>
        </is>
      </c>
      <c r="E145" s="9" t="n">
        <v>17</v>
      </c>
      <c r="F145" s="9" t="n">
        <v>1.2</v>
      </c>
      <c r="G145" s="9" t="n">
        <v>0.3</v>
      </c>
      <c r="H145" s="9" t="n">
        <v>0.1</v>
      </c>
      <c r="I145" s="9" t="n">
        <v>0</v>
      </c>
      <c r="J145" s="9" t="n">
        <v>2.9</v>
      </c>
      <c r="K145" s="9" t="n">
        <v>1.9</v>
      </c>
      <c r="L145" s="9" t="n">
        <v>24</v>
      </c>
      <c r="M145" s="8" t="inlineStr">
        <is>
          <t>食品營養成分資料庫 E33001</t>
        </is>
      </c>
    </row>
    <row r="146">
      <c r="A146" s="8" t="inlineStr">
        <is>
          <t>小番茄平均值(紅色系)</t>
        </is>
      </c>
      <c r="B146" s="8" t="inlineStr">
        <is>
          <t>柑仔蜜、甘仔(阿)蜜、草柿、臭柿仔、西紅柿、小金瓜、番柿、六月柿、洋柿(茄)子、紅茄、毛臘果</t>
        </is>
      </c>
      <c r="C146" s="8" t="inlineStr">
        <is>
          <t>生,紅色系小果</t>
        </is>
      </c>
      <c r="D146" s="8" t="inlineStr">
        <is>
          <t>蔬菜類</t>
        </is>
      </c>
      <c r="E146" s="9" t="n">
        <v>33</v>
      </c>
      <c r="F146" s="9" t="n">
        <v>0.9</v>
      </c>
      <c r="G146" s="9" t="n">
        <v>0.2</v>
      </c>
      <c r="H146" s="9" t="n">
        <v>0.1</v>
      </c>
      <c r="I146" s="9" t="n">
        <v>0</v>
      </c>
      <c r="J146" s="9" t="n">
        <v>7.4</v>
      </c>
      <c r="K146" s="9" t="n">
        <v>5.1</v>
      </c>
      <c r="L146" s="9" t="n">
        <v>6</v>
      </c>
      <c r="M146" s="8" t="inlineStr">
        <is>
          <t>食品營養成分資料庫 E74004</t>
        </is>
      </c>
    </row>
    <row r="147">
      <c r="A147" s="8" t="inlineStr">
        <is>
          <t>根菾菜根(2023年取樣)</t>
        </is>
      </c>
      <c r="B147" s="8" t="inlineStr">
        <is>
          <t>甜菜根、火焰菜根</t>
        </is>
      </c>
      <c r="C147" s="8" t="inlineStr">
        <is>
          <t>生</t>
        </is>
      </c>
      <c r="D147" s="8" t="inlineStr">
        <is>
          <t>蔬菜類</t>
        </is>
      </c>
      <c r="E147" s="9" t="n">
        <v>37</v>
      </c>
      <c r="F147" s="9" t="n">
        <v>1.2</v>
      </c>
      <c r="G147" s="9" t="n">
        <v>0</v>
      </c>
      <c r="H147" s="9" t="n">
        <v>0</v>
      </c>
      <c r="I147" s="9" t="n">
        <v>0</v>
      </c>
      <c r="J147" s="9" t="n">
        <v>8.6</v>
      </c>
      <c r="K147" s="9" t="n">
        <v>5.9</v>
      </c>
      <c r="L147" s="9" t="n">
        <v>141</v>
      </c>
      <c r="M147" s="8" t="inlineStr">
        <is>
          <t>食品營養成分資料庫 E0300102</t>
        </is>
      </c>
    </row>
    <row r="148">
      <c r="A148" s="8" t="inlineStr">
        <is>
          <t>玉米筍</t>
        </is>
      </c>
      <c r="B148" s="8" t="inlineStr">
        <is>
          <t>番麥筍、珍珠筍</t>
        </is>
      </c>
      <c r="C148" s="8" t="inlineStr">
        <is>
          <t>生</t>
        </is>
      </c>
      <c r="D148" s="8" t="inlineStr">
        <is>
          <t>蔬菜類</t>
        </is>
      </c>
      <c r="E148" s="9" t="n">
        <v>33</v>
      </c>
      <c r="F148" s="9" t="n">
        <v>1.8</v>
      </c>
      <c r="G148" s="9" t="n">
        <v>0.2</v>
      </c>
      <c r="H148" s="9" t="n">
        <v>0.1</v>
      </c>
      <c r="I148" s="9" t="n">
        <v>0</v>
      </c>
      <c r="J148" s="9" t="n">
        <v>7</v>
      </c>
      <c r="K148" s="9" t="n">
        <v>3</v>
      </c>
      <c r="L148" s="9" t="n">
        <v>0</v>
      </c>
      <c r="M148" s="8" t="inlineStr">
        <is>
          <t>食品營養成分資料庫 E1300201</t>
        </is>
      </c>
    </row>
    <row r="149">
      <c r="A149" s="8" t="inlineStr">
        <is>
          <t>麻竹筍</t>
        </is>
      </c>
      <c r="B149" s="8" t="inlineStr">
        <is>
          <t>蔴竹、甜竹、巨竹、坭竹、大綠竹、瓦坭竹、巨麻竹、美濃麻竹、吊絲麻竹</t>
        </is>
      </c>
      <c r="C149" s="8" t="inlineStr">
        <is>
          <t>生</t>
        </is>
      </c>
      <c r="D149" s="8" t="inlineStr">
        <is>
          <t>蔬菜類</t>
        </is>
      </c>
      <c r="E149" s="9" t="n">
        <v>22</v>
      </c>
      <c r="F149" s="9" t="n">
        <v>1.4</v>
      </c>
      <c r="G149" s="9" t="n">
        <v>0.1</v>
      </c>
      <c r="H149" s="9" t="n">
        <v>0.1</v>
      </c>
      <c r="I149" s="9" t="n">
        <v>0</v>
      </c>
      <c r="J149" s="9" t="n">
        <v>4.4</v>
      </c>
      <c r="K149" s="9" t="n">
        <v>2.3</v>
      </c>
      <c r="L149" s="9" t="n">
        <v>1</v>
      </c>
      <c r="M149" s="8" t="inlineStr">
        <is>
          <t>食品營養成分資料庫 E1400101</t>
        </is>
      </c>
    </row>
    <row r="150">
      <c r="A150" s="8" t="inlineStr">
        <is>
          <t>綠蘆筍(短型)</t>
        </is>
      </c>
      <c r="B150" s="8" t="inlineStr">
        <is>
          <t>野天門冬、松葉土當歸、石刁柏、龍鬚菜</t>
        </is>
      </c>
      <c r="C150" s="8" t="inlineStr">
        <is>
          <t>生</t>
        </is>
      </c>
      <c r="D150" s="8" t="inlineStr">
        <is>
          <t>蔬菜類</t>
        </is>
      </c>
      <c r="E150" s="9" t="n">
        <v>22</v>
      </c>
      <c r="F150" s="9" t="n">
        <v>3.5</v>
      </c>
      <c r="G150" s="9" t="n">
        <v>0.1</v>
      </c>
      <c r="H150" s="9" t="n">
        <v>0.1</v>
      </c>
      <c r="I150" s="9" t="n">
        <v>0</v>
      </c>
      <c r="J150" s="9" t="n">
        <v>3</v>
      </c>
      <c r="K150" s="9" t="n">
        <v>1.6</v>
      </c>
      <c r="L150" s="9" t="n">
        <v>5</v>
      </c>
      <c r="M150" s="8" t="inlineStr">
        <is>
          <t>食品營養成分資料庫 E1700204</t>
        </is>
      </c>
    </row>
    <row r="151">
      <c r="A151" s="8" t="inlineStr">
        <is>
          <t>青蔥(有機)</t>
        </is>
      </c>
      <c r="B151" s="8" t="inlineStr">
        <is>
          <t>蔥、葉蔥、蔥仔</t>
        </is>
      </c>
      <c r="C151" s="8" t="inlineStr">
        <is>
          <t>生,冷藏袋裝</t>
        </is>
      </c>
      <c r="D151" s="8" t="inlineStr">
        <is>
          <t>蔬菜類</t>
        </is>
      </c>
      <c r="E151" s="9" t="n">
        <v>31</v>
      </c>
      <c r="F151" s="9" t="n">
        <v>1.1</v>
      </c>
      <c r="G151" s="9" t="n">
        <v>0.2</v>
      </c>
      <c r="H151" s="9" t="n">
        <v>0.1</v>
      </c>
      <c r="I151" s="9" t="n">
        <v>0</v>
      </c>
      <c r="J151" s="9" t="n">
        <v>6.8</v>
      </c>
      <c r="K151" s="9" t="n">
        <v>3.7</v>
      </c>
      <c r="L151" s="9" t="n">
        <v>1</v>
      </c>
      <c r="M151" s="8" t="inlineStr">
        <is>
          <t>食品營養成分資料庫 E2300101</t>
        </is>
      </c>
    </row>
    <row r="152">
      <c r="A152" s="8" t="inlineStr">
        <is>
          <t>韮菜花</t>
        </is>
      </c>
      <c r="B152" s="8" t="inlineStr">
        <is>
          <t>花韮菜、韮花、韭菜苔(韮/韭通用)</t>
        </is>
      </c>
      <c r="C152" s="8" t="inlineStr">
        <is>
          <t>生</t>
        </is>
      </c>
      <c r="D152" s="8" t="inlineStr">
        <is>
          <t>蔬菜類</t>
        </is>
      </c>
      <c r="E152" s="9" t="n">
        <v>28</v>
      </c>
      <c r="F152" s="9" t="n">
        <v>1.8</v>
      </c>
      <c r="G152" s="9" t="n">
        <v>0.2</v>
      </c>
      <c r="H152" s="9" t="n">
        <v>0.1</v>
      </c>
      <c r="I152" s="9" t="n">
        <v>0</v>
      </c>
      <c r="J152" s="9" t="n">
        <v>5.6</v>
      </c>
      <c r="K152" s="9" t="n">
        <v>1.9</v>
      </c>
      <c r="L152" s="9" t="n">
        <v>3</v>
      </c>
      <c r="M152" s="8" t="inlineStr">
        <is>
          <t>食品營養成分資料庫 E2600101</t>
        </is>
      </c>
    </row>
    <row r="153">
      <c r="A153" s="8" t="inlineStr">
        <is>
          <t>九層塔</t>
        </is>
      </c>
      <c r="B153" s="8" t="inlineStr">
        <is>
          <t>千層塔、羅勒、家佩蘭、零陵菜、香菜(草)、薰草、西王母菜、塞香菜、光明子、醒頭香</t>
        </is>
      </c>
      <c r="C153" s="8" t="inlineStr">
        <is>
          <t>生</t>
        </is>
      </c>
      <c r="D153" s="8" t="inlineStr">
        <is>
          <t>蔬菜類</t>
        </is>
      </c>
      <c r="E153" s="9" t="n">
        <v>27</v>
      </c>
      <c r="F153" s="9" t="n">
        <v>2.9</v>
      </c>
      <c r="G153" s="9" t="n">
        <v>0.3</v>
      </c>
      <c r="H153" s="9" t="n">
        <v>0.1</v>
      </c>
      <c r="I153" s="9" t="n">
        <v>0</v>
      </c>
      <c r="J153" s="9" t="n">
        <v>4.4</v>
      </c>
      <c r="K153" s="9" t="n">
        <v>0.1</v>
      </c>
      <c r="L153" s="9" t="n">
        <v>2</v>
      </c>
      <c r="M153" s="8" t="inlineStr">
        <is>
          <t>食品營養成分資料庫 E2700101</t>
        </is>
      </c>
    </row>
    <row r="154">
      <c r="A154" s="8" t="inlineStr">
        <is>
          <t>甘藍(圓球形)(2021年取樣)</t>
        </is>
      </c>
      <c r="B154" s="8" t="inlineStr">
        <is>
          <t>高麗菜</t>
        </is>
      </c>
      <c r="C154" s="8" t="inlineStr">
        <is>
          <t>生,圓球形</t>
        </is>
      </c>
      <c r="D154" s="8" t="inlineStr">
        <is>
          <t>蔬菜類</t>
        </is>
      </c>
      <c r="E154" s="9" t="n">
        <v>20</v>
      </c>
      <c r="F154" s="9" t="n">
        <v>0.8</v>
      </c>
      <c r="G154" s="9" t="n">
        <v>0</v>
      </c>
      <c r="H154" s="9" t="n">
        <v>0</v>
      </c>
      <c r="I154" s="9" t="n">
        <v>0</v>
      </c>
      <c r="J154" s="9" t="n">
        <v>4.6</v>
      </c>
      <c r="K154" s="9" t="n">
        <v>3.4</v>
      </c>
      <c r="L154" s="9" t="n">
        <v>3</v>
      </c>
      <c r="M154" s="8" t="inlineStr">
        <is>
          <t>食品營養成分資料庫 E3000104</t>
        </is>
      </c>
    </row>
    <row r="155">
      <c r="A155" s="8" t="inlineStr">
        <is>
          <t>羽衣甘藍(有機)</t>
        </is>
      </c>
      <c r="B155" s="8" t="n"/>
      <c r="C155" s="8" t="inlineStr">
        <is>
          <t>生,冷藏袋裝</t>
        </is>
      </c>
      <c r="D155" s="8" t="inlineStr">
        <is>
          <t>蔬菜類</t>
        </is>
      </c>
      <c r="E155" s="9" t="n">
        <v>35</v>
      </c>
      <c r="F155" s="9" t="n">
        <v>3</v>
      </c>
      <c r="G155" s="9" t="n">
        <v>0.9</v>
      </c>
      <c r="H155" s="9" t="n">
        <v>0.3</v>
      </c>
      <c r="I155" s="9" t="n">
        <v>0</v>
      </c>
      <c r="J155" s="9" t="n">
        <v>5.1</v>
      </c>
      <c r="K155" s="9" t="n">
        <v>0.3</v>
      </c>
      <c r="L155" s="9" t="n">
        <v>60</v>
      </c>
      <c r="M155" s="8" t="inlineStr">
        <is>
          <t>食品營養成分資料庫 E3000501</t>
        </is>
      </c>
    </row>
    <row r="156">
      <c r="A156" s="8" t="inlineStr">
        <is>
          <t>蚵仔白菜(2022年取樣)</t>
        </is>
      </c>
      <c r="B156" s="8" t="inlineStr">
        <is>
          <t>白菜、青菜、散葉白菜、無心菜、菘、不結球白菜、尼龍白菜、皺(碎/曲)葉白菜、皺葉中蕓苔</t>
        </is>
      </c>
      <c r="C156" s="8" t="inlineStr">
        <is>
          <t>生,不結球白菜</t>
        </is>
      </c>
      <c r="D156" s="8" t="inlineStr">
        <is>
          <t>蔬菜類</t>
        </is>
      </c>
      <c r="E156" s="9" t="n">
        <v>13</v>
      </c>
      <c r="F156" s="9" t="n">
        <v>1.4</v>
      </c>
      <c r="G156" s="9" t="n">
        <v>0.3</v>
      </c>
      <c r="H156" s="9" t="n">
        <v>0.1</v>
      </c>
      <c r="I156" s="9" t="n">
        <v>0</v>
      </c>
      <c r="J156" s="9" t="n">
        <v>1.8</v>
      </c>
      <c r="K156" s="9" t="n">
        <v>0.4</v>
      </c>
      <c r="L156" s="9" t="n">
        <v>40</v>
      </c>
      <c r="M156" s="8" t="inlineStr">
        <is>
          <t>食品營養成分資料庫 E3200102</t>
        </is>
      </c>
    </row>
    <row r="157">
      <c r="A157" s="8" t="inlineStr">
        <is>
          <t>小白菜(土植)(3月取樣)</t>
        </is>
      </c>
      <c r="B157" s="8" t="inlineStr">
        <is>
          <t>土白菜、青菜、白菜、不結球白菜、水白菜</t>
        </is>
      </c>
      <c r="C157" s="8" t="inlineStr">
        <is>
          <t>生</t>
        </is>
      </c>
      <c r="D157" s="8" t="inlineStr">
        <is>
          <t>蔬菜類</t>
        </is>
      </c>
      <c r="E157" s="9" t="n">
        <v>14</v>
      </c>
      <c r="F157" s="9" t="n">
        <v>1.2</v>
      </c>
      <c r="G157" s="9" t="n">
        <v>0.1</v>
      </c>
      <c r="H157" s="9" t="n">
        <v>0.1</v>
      </c>
      <c r="I157" s="9" t="n">
        <v>0</v>
      </c>
      <c r="J157" s="9" t="n">
        <v>2.4</v>
      </c>
      <c r="K157" s="9" t="n">
        <v>0.4</v>
      </c>
      <c r="L157" s="9" t="n">
        <v>51</v>
      </c>
      <c r="M157" s="8" t="inlineStr">
        <is>
          <t>食品營養成分資料庫 E3200602</t>
        </is>
      </c>
    </row>
    <row r="158">
      <c r="A158" s="8" t="inlineStr">
        <is>
          <t>油菜(有機)</t>
        </is>
      </c>
      <c r="B158" s="8" t="inlineStr">
        <is>
          <t>蕓苔</t>
        </is>
      </c>
      <c r="C158" s="8" t="inlineStr">
        <is>
          <t>生,去根部</t>
        </is>
      </c>
      <c r="D158" s="8" t="inlineStr">
        <is>
          <t>蔬菜類</t>
        </is>
      </c>
      <c r="E158" s="9" t="n">
        <v>13</v>
      </c>
      <c r="F158" s="9" t="n">
        <v>1.3</v>
      </c>
      <c r="G158" s="9" t="n">
        <v>0.1</v>
      </c>
      <c r="H158" s="9" t="n">
        <v>0.1</v>
      </c>
      <c r="I158" s="9" t="n">
        <v>0</v>
      </c>
      <c r="J158" s="9" t="n">
        <v>2.2</v>
      </c>
      <c r="K158" s="9" t="n">
        <v>0.2</v>
      </c>
      <c r="L158" s="9" t="n">
        <v>24</v>
      </c>
      <c r="M158" s="8" t="inlineStr">
        <is>
          <t>食品營養成分資料庫 E3201101</t>
        </is>
      </c>
    </row>
    <row r="159">
      <c r="A159" s="8" t="inlineStr">
        <is>
          <t>青江菜(土植)(3月取樣)</t>
        </is>
      </c>
      <c r="B159" s="8" t="inlineStr">
        <is>
          <t>江門白菜、湯匙菜、青梗白菜</t>
        </is>
      </c>
      <c r="C159" s="8" t="inlineStr">
        <is>
          <t>生</t>
        </is>
      </c>
      <c r="D159" s="8" t="inlineStr">
        <is>
          <t>蔬菜類</t>
        </is>
      </c>
      <c r="E159" s="9" t="n">
        <v>13</v>
      </c>
      <c r="F159" s="9" t="n">
        <v>1.2</v>
      </c>
      <c r="G159" s="9" t="n">
        <v>0.1</v>
      </c>
      <c r="H159" s="9" t="n">
        <v>0.1</v>
      </c>
      <c r="I159" s="9" t="n">
        <v>0</v>
      </c>
      <c r="J159" s="9" t="n">
        <v>2.2</v>
      </c>
      <c r="K159" s="9" t="n">
        <v>0.4</v>
      </c>
      <c r="L159" s="9" t="n">
        <v>53</v>
      </c>
      <c r="M159" s="8" t="inlineStr">
        <is>
          <t>食品營養成分資料庫 E3201202</t>
        </is>
      </c>
    </row>
    <row r="160">
      <c r="A160" s="8" t="inlineStr">
        <is>
          <t>青江菜(土植)(10月取樣)</t>
        </is>
      </c>
      <c r="B160" s="8" t="inlineStr">
        <is>
          <t>江門白菜、湯匙菜、青梗白菜</t>
        </is>
      </c>
      <c r="C160" s="8" t="inlineStr">
        <is>
          <t>生</t>
        </is>
      </c>
      <c r="D160" s="8" t="inlineStr">
        <is>
          <t>蔬菜類</t>
        </is>
      </c>
      <c r="E160" s="9" t="n">
        <v>18</v>
      </c>
      <c r="F160" s="9" t="n">
        <v>1.7</v>
      </c>
      <c r="G160" s="9" t="n">
        <v>0.1</v>
      </c>
      <c r="H160" s="9" t="n">
        <v>0</v>
      </c>
      <c r="I160" s="9" t="n">
        <v>0</v>
      </c>
      <c r="J160" s="9" t="n">
        <v>3.4</v>
      </c>
      <c r="K160" s="9" t="n">
        <v>0.6</v>
      </c>
      <c r="L160" s="9" t="n">
        <v>28</v>
      </c>
      <c r="M160" s="8" t="inlineStr">
        <is>
          <t>食品營養成分資料庫 E3201205</t>
        </is>
      </c>
    </row>
    <row r="161">
      <c r="A161" s="8" t="inlineStr">
        <is>
          <t>青江菜(有機)(10月取樣)</t>
        </is>
      </c>
      <c r="B161" s="8" t="inlineStr">
        <is>
          <t>江門白菜、湯匙菜、青梗白菜</t>
        </is>
      </c>
      <c r="C161" s="8" t="inlineStr">
        <is>
          <t>生</t>
        </is>
      </c>
      <c r="D161" s="8" t="inlineStr">
        <is>
          <t>蔬菜類</t>
        </is>
      </c>
      <c r="E161" s="9" t="n">
        <v>15</v>
      </c>
      <c r="F161" s="9" t="n">
        <v>1.6</v>
      </c>
      <c r="G161" s="9" t="n">
        <v>0.1</v>
      </c>
      <c r="H161" s="9" t="n">
        <v>0</v>
      </c>
      <c r="I161" s="9" t="n">
        <v>0</v>
      </c>
      <c r="J161" s="9" t="n">
        <v>2.7</v>
      </c>
      <c r="K161" s="9" t="n">
        <v>0.5</v>
      </c>
      <c r="L161" s="9" t="n">
        <v>23</v>
      </c>
      <c r="M161" s="8" t="inlineStr">
        <is>
          <t>食品營養成分資料庫 E3201404</t>
        </is>
      </c>
    </row>
    <row r="162">
      <c r="A162" s="8" t="inlineStr">
        <is>
          <t>塔菇菜(有機)</t>
        </is>
      </c>
      <c r="B162" s="8" t="inlineStr">
        <is>
          <t>塌棵菜、塔菜、瓢兒芥</t>
        </is>
      </c>
      <c r="C162" s="8" t="inlineStr">
        <is>
          <t>生</t>
        </is>
      </c>
      <c r="D162" s="8" t="inlineStr">
        <is>
          <t>蔬菜類</t>
        </is>
      </c>
      <c r="E162" s="9" t="n">
        <v>14</v>
      </c>
      <c r="F162" s="9" t="n">
        <v>1.9</v>
      </c>
      <c r="G162" s="9" t="n">
        <v>0</v>
      </c>
      <c r="H162" s="9" t="n">
        <v>0</v>
      </c>
      <c r="I162" s="9" t="n">
        <v>0</v>
      </c>
      <c r="J162" s="9" t="n">
        <v>2.3</v>
      </c>
      <c r="K162" s="9" t="n">
        <v>0.1</v>
      </c>
      <c r="L162" s="9" t="n">
        <v>59</v>
      </c>
      <c r="M162" s="8" t="inlineStr">
        <is>
          <t>食品營養成分資料庫 E3201501</t>
        </is>
      </c>
    </row>
    <row r="163">
      <c r="A163" s="8" t="inlineStr">
        <is>
          <t>廣島野菜</t>
        </is>
      </c>
      <c r="B163" s="8" t="inlineStr">
        <is>
          <t>廣島菜</t>
        </is>
      </c>
      <c r="C163" s="8" t="inlineStr">
        <is>
          <t>生</t>
        </is>
      </c>
      <c r="D163" s="8" t="inlineStr">
        <is>
          <t>蔬菜類</t>
        </is>
      </c>
      <c r="E163" s="9" t="n">
        <v>16</v>
      </c>
      <c r="F163" s="9" t="n">
        <v>1.7</v>
      </c>
      <c r="G163" s="9" t="n">
        <v>0</v>
      </c>
      <c r="H163" s="9" t="n">
        <v>0</v>
      </c>
      <c r="I163" s="9" t="n">
        <v>0</v>
      </c>
      <c r="J163" s="9" t="n">
        <v>2.9</v>
      </c>
      <c r="K163" s="9" t="n">
        <v>0.3</v>
      </c>
      <c r="L163" s="9" t="n">
        <v>19</v>
      </c>
      <c r="M163" s="8" t="inlineStr">
        <is>
          <t>食品營養成分資料庫 E3201601</t>
        </is>
      </c>
    </row>
    <row r="164">
      <c r="A164" s="8" t="inlineStr">
        <is>
          <t>日本油菜(有機)</t>
        </is>
      </c>
      <c r="B164" s="8" t="inlineStr">
        <is>
          <t>鶯菜、小松菜</t>
        </is>
      </c>
      <c r="C164" s="8" t="inlineStr">
        <is>
          <t>生,冷藏袋裝</t>
        </is>
      </c>
      <c r="D164" s="8" t="inlineStr">
        <is>
          <t>蔬菜類</t>
        </is>
      </c>
      <c r="E164" s="9" t="n">
        <v>20</v>
      </c>
      <c r="F164" s="9" t="n">
        <v>1.5</v>
      </c>
      <c r="G164" s="9" t="n">
        <v>0.4</v>
      </c>
      <c r="H164" s="9" t="n">
        <v>0.2</v>
      </c>
      <c r="I164" s="9" t="n">
        <v>0</v>
      </c>
      <c r="J164" s="9" t="n">
        <v>3.3</v>
      </c>
      <c r="K164" s="9" t="n">
        <v>0.8</v>
      </c>
      <c r="L164" s="9" t="n">
        <v>55</v>
      </c>
      <c r="M164" s="8" t="inlineStr">
        <is>
          <t>食品營養成分資料庫 E3201701</t>
        </is>
      </c>
    </row>
    <row r="165">
      <c r="A165" s="8" t="inlineStr">
        <is>
          <t>包心白菜</t>
        </is>
      </c>
      <c r="B165" s="8" t="inlineStr">
        <is>
          <t>大白菜、黃芽菜、卷心白菜、山東白菜、結球白菜</t>
        </is>
      </c>
      <c r="C165" s="8" t="inlineStr">
        <is>
          <t>生,結球白菜,橢圓形</t>
        </is>
      </c>
      <c r="D165" s="8" t="inlineStr">
        <is>
          <t>蔬菜類</t>
        </is>
      </c>
      <c r="E165" s="9" t="n">
        <v>14</v>
      </c>
      <c r="F165" s="9" t="n">
        <v>1.2</v>
      </c>
      <c r="G165" s="9" t="n">
        <v>0.1</v>
      </c>
      <c r="H165" s="9" t="n">
        <v>0.1</v>
      </c>
      <c r="I165" s="9" t="n">
        <v>0</v>
      </c>
      <c r="J165" s="9" t="n">
        <v>2.6</v>
      </c>
      <c r="K165" s="9" t="n">
        <v>1.5</v>
      </c>
      <c r="L165" s="9" t="n">
        <v>14</v>
      </c>
      <c r="M165" s="8" t="inlineStr">
        <is>
          <t>食品營養成分資料庫 E3300104</t>
        </is>
      </c>
    </row>
    <row r="166">
      <c r="A166" s="8" t="inlineStr">
        <is>
          <t>山芹菜</t>
        </is>
      </c>
      <c r="B166" s="8" t="inlineStr">
        <is>
          <t>鴨兒芹、三葉芹、三葉山芹菜</t>
        </is>
      </c>
      <c r="C166" s="8" t="inlineStr">
        <is>
          <t>生</t>
        </is>
      </c>
      <c r="D166" s="8" t="inlineStr">
        <is>
          <t>蔬菜類</t>
        </is>
      </c>
      <c r="E166" s="9" t="n">
        <v>28</v>
      </c>
      <c r="F166" s="9" t="n">
        <v>2.1</v>
      </c>
      <c r="G166" s="9" t="n">
        <v>0.3</v>
      </c>
      <c r="H166" s="9" t="n">
        <v>0.1</v>
      </c>
      <c r="I166" s="9" t="n">
        <v>0</v>
      </c>
      <c r="J166" s="9" t="n">
        <v>5.2</v>
      </c>
      <c r="K166" s="9" t="n">
        <v>0.5</v>
      </c>
      <c r="L166" s="9" t="n">
        <v>2</v>
      </c>
      <c r="M166" s="8" t="inlineStr">
        <is>
          <t>食品營養成分資料庫 E3700101</t>
        </is>
      </c>
    </row>
    <row r="167">
      <c r="A167" s="8" t="inlineStr">
        <is>
          <t>抱子芥菜</t>
        </is>
      </c>
      <c r="B167" s="8" t="inlineStr">
        <is>
          <t>娃娃菜</t>
        </is>
      </c>
      <c r="C167" s="8" t="inlineStr">
        <is>
          <t>生</t>
        </is>
      </c>
      <c r="D167" s="8" t="inlineStr">
        <is>
          <t>蔬菜類</t>
        </is>
      </c>
      <c r="E167" s="9" t="n">
        <v>21</v>
      </c>
      <c r="F167" s="9" t="n">
        <v>2.1</v>
      </c>
      <c r="G167" s="9" t="n">
        <v>0.1</v>
      </c>
      <c r="H167" s="9" t="n">
        <v>0</v>
      </c>
      <c r="I167" s="9" t="n">
        <v>0</v>
      </c>
      <c r="J167" s="9" t="n">
        <v>3.8</v>
      </c>
      <c r="K167" s="9" t="n">
        <v>1.7</v>
      </c>
      <c r="L167" s="9" t="n">
        <v>4</v>
      </c>
      <c r="M167" s="8" t="inlineStr">
        <is>
          <t>食品營養成分資料庫 E3800501</t>
        </is>
      </c>
    </row>
    <row r="168">
      <c r="A168" s="8" t="inlineStr">
        <is>
          <t>日本茼蒿(有機)</t>
        </is>
      </c>
      <c r="B168" s="8" t="inlineStr">
        <is>
          <t>春菊、山茼蒿、小葉茼蒿</t>
        </is>
      </c>
      <c r="C168" s="8" t="inlineStr">
        <is>
          <t>生</t>
        </is>
      </c>
      <c r="D168" s="8" t="inlineStr">
        <is>
          <t>蔬菜類</t>
        </is>
      </c>
      <c r="E168" s="9" t="n">
        <v>26</v>
      </c>
      <c r="F168" s="9" t="n">
        <v>1.9</v>
      </c>
      <c r="G168" s="9" t="n">
        <v>0.2</v>
      </c>
      <c r="H168" s="9" t="n">
        <v>0.1</v>
      </c>
      <c r="I168" s="9" t="n">
        <v>0</v>
      </c>
      <c r="J168" s="9" t="n">
        <v>4.8</v>
      </c>
      <c r="K168" s="9" t="n">
        <v>0.4</v>
      </c>
      <c r="L168" s="9" t="n">
        <v>179</v>
      </c>
      <c r="M168" s="8" t="inlineStr">
        <is>
          <t>食品營養成分資料庫 E4600201</t>
        </is>
      </c>
    </row>
    <row r="169">
      <c r="A169" s="8" t="inlineStr">
        <is>
          <t>紅莧菜</t>
        </is>
      </c>
      <c r="B169" s="8" t="inlineStr">
        <is>
          <t>紅莧、虎菜、紅虎莧、赤莧、紅杏(荇)菜、赤杏菜、紫杏(莧)菜</t>
        </is>
      </c>
      <c r="C169" s="8" t="inlineStr">
        <is>
          <t>生</t>
        </is>
      </c>
      <c r="D169" s="8" t="inlineStr">
        <is>
          <t>蔬菜類</t>
        </is>
      </c>
      <c r="E169" s="9" t="n">
        <v>22</v>
      </c>
      <c r="F169" s="9" t="n">
        <v>2.6</v>
      </c>
      <c r="G169" s="9" t="n">
        <v>0.3</v>
      </c>
      <c r="H169" s="9" t="n">
        <v>0.1</v>
      </c>
      <c r="I169" s="9" t="n">
        <v>0</v>
      </c>
      <c r="J169" s="9" t="n">
        <v>3.3</v>
      </c>
      <c r="K169" s="9" t="n">
        <v>0.2</v>
      </c>
      <c r="L169" s="9" t="n">
        <v>12</v>
      </c>
      <c r="M169" s="8" t="inlineStr">
        <is>
          <t>食品營養成分資料庫 E4800201</t>
        </is>
      </c>
    </row>
    <row r="170">
      <c r="A170" s="8" t="inlineStr">
        <is>
          <t>菠菜(葉)(有機)</t>
        </is>
      </c>
      <c r="B170" s="8" t="inlineStr">
        <is>
          <t>菠菱菜、赤根菜、飛龍菜、角菜、波斯草、波斯菜、波菱菜</t>
        </is>
      </c>
      <c r="C170" s="8" t="inlineStr">
        <is>
          <t>生,冷藏袋裝,只取葉子部位</t>
        </is>
      </c>
      <c r="D170" s="8" t="inlineStr">
        <is>
          <t>蔬菜類</t>
        </is>
      </c>
      <c r="E170" s="9" t="n">
        <v>26</v>
      </c>
      <c r="F170" s="9" t="n">
        <v>3.3</v>
      </c>
      <c r="G170" s="9" t="n">
        <v>0.4</v>
      </c>
      <c r="H170" s="9" t="n">
        <v>0.1</v>
      </c>
      <c r="I170" s="9" t="n">
        <v>0</v>
      </c>
      <c r="J170" s="9" t="n">
        <v>3.6</v>
      </c>
      <c r="K170" s="9" t="n">
        <v>0</v>
      </c>
      <c r="L170" s="9" t="n">
        <v>106</v>
      </c>
      <c r="M170" s="8" t="inlineStr">
        <is>
          <t>食品營養成分資料庫 E5000201</t>
        </is>
      </c>
    </row>
    <row r="171">
      <c r="A171" s="8" t="inlineStr">
        <is>
          <t>水耕波士頓萵苣</t>
        </is>
      </c>
      <c r="B171" s="8" t="n"/>
      <c r="C171" s="8" t="inlineStr">
        <is>
          <t>生,半結球萵苣</t>
        </is>
      </c>
      <c r="D171" s="8" t="inlineStr">
        <is>
          <t>蔬菜類</t>
        </is>
      </c>
      <c r="E171" s="9" t="n">
        <v>14</v>
      </c>
      <c r="F171" s="9" t="n">
        <v>1.3</v>
      </c>
      <c r="G171" s="9" t="n">
        <v>0.7</v>
      </c>
      <c r="H171" s="9" t="n">
        <v>0.3</v>
      </c>
      <c r="I171" s="9" t="n">
        <v>0</v>
      </c>
      <c r="J171" s="9" t="n">
        <v>1.2</v>
      </c>
      <c r="K171" s="9" t="n">
        <v>0.3</v>
      </c>
      <c r="L171" s="9" t="n">
        <v>2</v>
      </c>
      <c r="M171" s="8" t="inlineStr">
        <is>
          <t>食品營養成分資料庫 E5300501</t>
        </is>
      </c>
    </row>
    <row r="172">
      <c r="A172" s="8" t="inlineStr">
        <is>
          <t>青花菜(2021年取樣)</t>
        </is>
      </c>
      <c r="B172" s="8" t="inlineStr">
        <is>
          <t>(青花菜非綠色花椰菜)青(綠)花菜、美國花菜、青花苔、花(青)菜苔、菜苔、花菜苞</t>
        </is>
      </c>
      <c r="C172" s="8" t="inlineStr">
        <is>
          <t>生</t>
        </is>
      </c>
      <c r="D172" s="8" t="inlineStr">
        <is>
          <t>蔬菜類</t>
        </is>
      </c>
      <c r="E172" s="9" t="n">
        <v>38</v>
      </c>
      <c r="F172" s="9" t="n">
        <v>3.4</v>
      </c>
      <c r="G172" s="9" t="n">
        <v>0.4</v>
      </c>
      <c r="H172" s="9" t="n">
        <v>0.2</v>
      </c>
      <c r="I172" s="9" t="n">
        <v>0</v>
      </c>
      <c r="J172" s="9" t="n">
        <v>6.5</v>
      </c>
      <c r="K172" s="9" t="n">
        <v>1.8</v>
      </c>
      <c r="L172" s="9" t="n">
        <v>13</v>
      </c>
      <c r="M172" s="8" t="inlineStr">
        <is>
          <t>食品營養成分資料庫 E5800402</t>
        </is>
      </c>
    </row>
    <row r="173">
      <c r="A173" s="8" t="inlineStr">
        <is>
          <t>洛神花乾</t>
        </is>
      </c>
      <c r="B173" s="8" t="inlineStr">
        <is>
          <t>玫瑰茄、洛神葵、洛神果、洛濟葵</t>
        </is>
      </c>
      <c r="C173" s="8" t="inlineStr">
        <is>
          <t>乾貨</t>
        </is>
      </c>
      <c r="D173" s="8" t="inlineStr">
        <is>
          <t>蔬菜類</t>
        </is>
      </c>
      <c r="E173" s="9" t="n">
        <v>306</v>
      </c>
      <c r="F173" s="9" t="n">
        <v>9</v>
      </c>
      <c r="G173" s="9" t="n">
        <v>0.6</v>
      </c>
      <c r="H173" s="9" t="n">
        <v>0.3</v>
      </c>
      <c r="I173" s="9" t="n">
        <v>0.0031</v>
      </c>
      <c r="J173" s="9" t="n">
        <v>71.2</v>
      </c>
      <c r="K173" s="9" t="n">
        <v>4.4</v>
      </c>
      <c r="L173" s="9" t="n">
        <v>17</v>
      </c>
      <c r="M173" s="8" t="inlineStr">
        <is>
          <t>食品營養成分資料庫 E6010101</t>
        </is>
      </c>
    </row>
    <row r="174">
      <c r="A174" s="8" t="inlineStr">
        <is>
          <t>冬瓜(2022年取樣)</t>
        </is>
      </c>
      <c r="B174" s="8" t="inlineStr">
        <is>
          <t>白瓜、東瓜、枕瓜、水芝、地芝</t>
        </is>
      </c>
      <c r="C174" s="8" t="inlineStr">
        <is>
          <t>生,大果</t>
        </is>
      </c>
      <c r="D174" s="8" t="inlineStr">
        <is>
          <t>蔬菜類</t>
        </is>
      </c>
      <c r="E174" s="9" t="n">
        <v>21</v>
      </c>
      <c r="F174" s="9" t="n">
        <v>0.4</v>
      </c>
      <c r="G174" s="9" t="n">
        <v>0</v>
      </c>
      <c r="H174" s="9" t="n">
        <v>0</v>
      </c>
      <c r="I174" s="9" t="n">
        <v>0</v>
      </c>
      <c r="J174" s="9" t="n">
        <v>5.1</v>
      </c>
      <c r="K174" s="9" t="n">
        <v>1.5</v>
      </c>
      <c r="L174" s="9" t="n">
        <v>0</v>
      </c>
      <c r="M174" s="8" t="inlineStr">
        <is>
          <t>食品營養成分資料庫 E6200103</t>
        </is>
      </c>
    </row>
    <row r="175">
      <c r="A175" s="8" t="inlineStr">
        <is>
          <t>花胡瓜(有機)</t>
        </is>
      </c>
      <c r="B175" s="8" t="inlineStr">
        <is>
          <t>小黃瓜、花瓜、小胡瓜、小刺瓜</t>
        </is>
      </c>
      <c r="C175" s="8" t="inlineStr">
        <is>
          <t>生</t>
        </is>
      </c>
      <c r="D175" s="8" t="inlineStr">
        <is>
          <t>蔬菜類</t>
        </is>
      </c>
      <c r="E175" s="9" t="n">
        <v>15</v>
      </c>
      <c r="F175" s="9" t="n">
        <v>0.8</v>
      </c>
      <c r="G175" s="9" t="n">
        <v>0.1</v>
      </c>
      <c r="H175" s="9" t="n">
        <v>0.1</v>
      </c>
      <c r="I175" s="9" t="n">
        <v>0</v>
      </c>
      <c r="J175" s="9" t="n">
        <v>3.1</v>
      </c>
      <c r="K175" s="9" t="n">
        <v>1.3</v>
      </c>
      <c r="L175" s="9" t="n">
        <v>1</v>
      </c>
      <c r="M175" s="8" t="inlineStr">
        <is>
          <t>食品營養成分資料庫 E6400201</t>
        </is>
      </c>
    </row>
    <row r="176">
      <c r="A176" s="8" t="inlineStr">
        <is>
          <t>隼人瓜(2023年取樣)</t>
        </is>
      </c>
      <c r="B176" s="8" t="inlineStr">
        <is>
          <t>梨瓜、壽瓜、合掌瓜、安南瓜、香瓜仔、拳頭瓜、佛掌瓜、香圓瓜、香櫞瓜、佛手瓜、瓦瓜</t>
        </is>
      </c>
      <c r="C176" s="8" t="inlineStr">
        <is>
          <t>生</t>
        </is>
      </c>
      <c r="D176" s="8" t="inlineStr">
        <is>
          <t>蔬菜類</t>
        </is>
      </c>
      <c r="E176" s="9" t="n">
        <v>22</v>
      </c>
      <c r="F176" s="9" t="n">
        <v>0.7</v>
      </c>
      <c r="G176" s="9" t="n">
        <v>0.2</v>
      </c>
      <c r="H176" s="9" t="n">
        <v>0.2</v>
      </c>
      <c r="I176" s="9" t="n">
        <v>0</v>
      </c>
      <c r="J176" s="9" t="n">
        <v>4.5</v>
      </c>
      <c r="K176" s="9" t="n">
        <v>2.9</v>
      </c>
      <c r="L176" s="9" t="n">
        <v>0</v>
      </c>
      <c r="M176" s="8" t="inlineStr">
        <is>
          <t>食品營養成分資料庫 E6600102</t>
        </is>
      </c>
    </row>
    <row r="177">
      <c r="A177" s="8" t="inlineStr">
        <is>
          <t>枸杞乾</t>
        </is>
      </c>
      <c r="B177" s="8" t="inlineStr">
        <is>
          <t>枸杞、地骨子、甘杞、杞子、枸忌、苦杞、血杞、天精子</t>
        </is>
      </c>
      <c r="C177" s="8" t="inlineStr">
        <is>
          <t>乾貨</t>
        </is>
      </c>
      <c r="D177" s="8" t="inlineStr">
        <is>
          <t>蔬菜類</t>
        </is>
      </c>
      <c r="E177" s="9" t="n">
        <v>347</v>
      </c>
      <c r="F177" s="9" t="n">
        <v>12.3</v>
      </c>
      <c r="G177" s="9" t="n">
        <v>1.3</v>
      </c>
      <c r="H177" s="9" t="n">
        <v>0.2</v>
      </c>
      <c r="I177" s="9" t="n">
        <v>0</v>
      </c>
      <c r="J177" s="9" t="n">
        <v>77.8</v>
      </c>
      <c r="K177" s="9" t="n">
        <v>44.1</v>
      </c>
      <c r="L177" s="9" t="n">
        <v>521</v>
      </c>
      <c r="M177" s="8" t="inlineStr">
        <is>
          <t>食品營養成分資料庫 E7210101</t>
        </is>
      </c>
    </row>
    <row r="178">
      <c r="A178" s="8" t="inlineStr">
        <is>
          <t>聖女小番茄</t>
        </is>
      </c>
      <c r="B178" s="8" t="inlineStr">
        <is>
          <t>柑(甘)仔蜜、草(番、西紅、六月)柿、臭柿仔、小金瓜、洋柿(茄)子、紅茄、毛臘果</t>
        </is>
      </c>
      <c r="C178" s="8" t="inlineStr">
        <is>
          <t>生,紅色系小果</t>
        </is>
      </c>
      <c r="D178" s="8" t="inlineStr">
        <is>
          <t>蔬菜類</t>
        </is>
      </c>
      <c r="E178" s="9" t="n">
        <v>34</v>
      </c>
      <c r="F178" s="9" t="n">
        <v>1.1</v>
      </c>
      <c r="G178" s="9" t="n">
        <v>0.5</v>
      </c>
      <c r="H178" s="9" t="n">
        <v>0.3</v>
      </c>
      <c r="I178" s="9" t="n">
        <v>0</v>
      </c>
      <c r="J178" s="9" t="n">
        <v>6.9</v>
      </c>
      <c r="K178" s="9" t="n">
        <v>5.1</v>
      </c>
      <c r="L178" s="9" t="n">
        <v>10</v>
      </c>
      <c r="M178" s="8" t="inlineStr">
        <is>
          <t>食品營養成分資料庫 E7400401</t>
        </is>
      </c>
    </row>
    <row r="179">
      <c r="A179" s="8" t="inlineStr">
        <is>
          <t>黃秋葵</t>
        </is>
      </c>
      <c r="B179" s="8" t="inlineStr">
        <is>
          <t>秋葵、羊角豆、黃蜀葵、食香槿、假三念、黃葵</t>
        </is>
      </c>
      <c r="C179" s="8" t="inlineStr">
        <is>
          <t>生</t>
        </is>
      </c>
      <c r="D179" s="8" t="inlineStr">
        <is>
          <t>蔬菜類</t>
        </is>
      </c>
      <c r="E179" s="9" t="n">
        <v>36</v>
      </c>
      <c r="F179" s="9" t="n">
        <v>2.1</v>
      </c>
      <c r="G179" s="9" t="n">
        <v>0.1</v>
      </c>
      <c r="H179" s="9" t="n">
        <v>0.1</v>
      </c>
      <c r="I179" s="9" t="n">
        <v>0</v>
      </c>
      <c r="J179" s="9" t="n">
        <v>7.5</v>
      </c>
      <c r="K179" s="9" t="n">
        <v>2.6</v>
      </c>
      <c r="L179" s="9" t="n">
        <v>9</v>
      </c>
      <c r="M179" s="8" t="inlineStr">
        <is>
          <t>食品營養成分資料庫 E7600101</t>
        </is>
      </c>
    </row>
    <row r="180">
      <c r="A180" s="8" t="inlineStr">
        <is>
          <t>青花菜芽</t>
        </is>
      </c>
      <c r="B180" s="8" t="inlineStr">
        <is>
          <t>青花椰苗、青花菜苗、花菜苔芽</t>
        </is>
      </c>
      <c r="C180" s="8" t="inlineStr">
        <is>
          <t>生(含種皮,芽體,根毛)</t>
        </is>
      </c>
      <c r="D180" s="8" t="inlineStr">
        <is>
          <t>蔬菜類</t>
        </is>
      </c>
      <c r="E180" s="9" t="n">
        <v>35</v>
      </c>
      <c r="F180" s="9" t="n">
        <v>2.8</v>
      </c>
      <c r="G180" s="9" t="n">
        <v>1</v>
      </c>
      <c r="H180" s="9" t="n">
        <v>0.1</v>
      </c>
      <c r="I180" s="9" t="n">
        <v>0</v>
      </c>
      <c r="J180" s="9" t="n">
        <v>4.9</v>
      </c>
      <c r="K180" s="9" t="n">
        <v>0.7</v>
      </c>
      <c r="L180" s="9" t="n">
        <v>1</v>
      </c>
      <c r="M180" s="8" t="inlineStr">
        <is>
          <t>食品營養成分資料庫 E7700101</t>
        </is>
      </c>
    </row>
    <row r="181">
      <c r="A181" s="8" t="inlineStr">
        <is>
          <t>黃豆芽(有機,2023年取樣)</t>
        </is>
      </c>
      <c r="B181" s="8" t="inlineStr">
        <is>
          <t>大豆芽</t>
        </is>
      </c>
      <c r="C181" s="8" t="inlineStr">
        <is>
          <t>生</t>
        </is>
      </c>
      <c r="D181" s="8" t="inlineStr">
        <is>
          <t>蔬菜類</t>
        </is>
      </c>
      <c r="E181" s="9" t="n">
        <v>41</v>
      </c>
      <c r="F181" s="9" t="n">
        <v>5.1</v>
      </c>
      <c r="G181" s="9" t="n">
        <v>1</v>
      </c>
      <c r="H181" s="9" t="n">
        <v>0.2</v>
      </c>
      <c r="I181" s="9" t="n">
        <v>0</v>
      </c>
      <c r="J181" s="9" t="n">
        <v>5</v>
      </c>
      <c r="K181" s="9" t="n">
        <v>0.5</v>
      </c>
      <c r="L181" s="9" t="n">
        <v>2</v>
      </c>
      <c r="M181" s="8" t="inlineStr">
        <is>
          <t>食品營養成分資料庫 E7700402</t>
        </is>
      </c>
    </row>
    <row r="182">
      <c r="A182" s="8" t="inlineStr">
        <is>
          <t>黑豆芽</t>
        </is>
      </c>
      <c r="B182" s="8" t="n"/>
      <c r="C182" s="8" t="inlineStr">
        <is>
          <t>生</t>
        </is>
      </c>
      <c r="D182" s="8" t="inlineStr">
        <is>
          <t>蔬菜類</t>
        </is>
      </c>
      <c r="E182" s="9" t="n">
        <v>52</v>
      </c>
      <c r="F182" s="9" t="n">
        <v>6.6</v>
      </c>
      <c r="G182" s="9" t="n">
        <v>1.1</v>
      </c>
      <c r="H182" s="9" t="n">
        <v>0.3</v>
      </c>
      <c r="I182" s="9" t="n">
        <v>0</v>
      </c>
      <c r="J182" s="9" t="n">
        <v>6.4</v>
      </c>
      <c r="K182" s="9" t="n">
        <v>0.8</v>
      </c>
      <c r="L182" s="9" t="n">
        <v>3</v>
      </c>
      <c r="M182" s="8" t="inlineStr">
        <is>
          <t>食品營養成分資料庫 E7700501</t>
        </is>
      </c>
    </row>
    <row r="183">
      <c r="A183" s="8" t="inlineStr">
        <is>
          <t>豌豆芽</t>
        </is>
      </c>
      <c r="B183" s="8" t="inlineStr">
        <is>
          <t>豌豆嬰、荷蘭豆芽(嬰)</t>
        </is>
      </c>
      <c r="C183" s="8" t="inlineStr">
        <is>
          <t>生</t>
        </is>
      </c>
      <c r="D183" s="8" t="inlineStr">
        <is>
          <t>蔬菜類</t>
        </is>
      </c>
      <c r="E183" s="9" t="n">
        <v>25</v>
      </c>
      <c r="F183" s="9" t="n">
        <v>4</v>
      </c>
      <c r="G183" s="9" t="n">
        <v>0.4</v>
      </c>
      <c r="H183" s="9" t="n">
        <v>0.2</v>
      </c>
      <c r="I183" s="9" t="n">
        <v>0</v>
      </c>
      <c r="J183" s="9" t="n">
        <v>2.9</v>
      </c>
      <c r="K183" s="9" t="n">
        <v>0.6</v>
      </c>
      <c r="L183" s="9" t="n">
        <v>2</v>
      </c>
      <c r="M183" s="8" t="inlineStr">
        <is>
          <t>食品營養成分資料庫 E7700801</t>
        </is>
      </c>
    </row>
    <row r="184">
      <c r="A184" s="8" t="inlineStr">
        <is>
          <t>麵包果</t>
        </is>
      </c>
      <c r="B184" s="8" t="inlineStr">
        <is>
          <t>釋迦果、馬檳榔</t>
        </is>
      </c>
      <c r="C184" s="8" t="inlineStr">
        <is>
          <t>生</t>
        </is>
      </c>
      <c r="D184" s="8" t="inlineStr">
        <is>
          <t>蔬菜類</t>
        </is>
      </c>
      <c r="E184" s="9" t="n">
        <v>61</v>
      </c>
      <c r="F184" s="9" t="n">
        <v>1</v>
      </c>
      <c r="G184" s="9" t="n">
        <v>1.8</v>
      </c>
      <c r="H184" s="9" t="n">
        <v>0.6</v>
      </c>
      <c r="I184" s="9" t="n">
        <v>0</v>
      </c>
      <c r="J184" s="9" t="n">
        <v>11.2</v>
      </c>
      <c r="K184" s="9" t="n">
        <v>4.6</v>
      </c>
      <c r="L184" s="9" t="n">
        <v>2</v>
      </c>
      <c r="M184" s="8" t="inlineStr">
        <is>
          <t>食品營養成分資料庫 E9900701</t>
        </is>
      </c>
    </row>
    <row r="185">
      <c r="A185" s="8" t="inlineStr">
        <is>
          <t>冰花</t>
        </is>
      </c>
      <c r="B185" s="8" t="inlineStr">
        <is>
          <t>冰菜、水晶冰花、冰葉日中花</t>
        </is>
      </c>
      <c r="C185" s="8" t="inlineStr">
        <is>
          <t>生,冷藏盒裝</t>
        </is>
      </c>
      <c r="D185" s="8" t="inlineStr">
        <is>
          <t>蔬菜類</t>
        </is>
      </c>
      <c r="E185" s="9" t="n">
        <v>7</v>
      </c>
      <c r="F185" s="9" t="n">
        <v>0.8</v>
      </c>
      <c r="G185" s="9" t="n">
        <v>0.1</v>
      </c>
      <c r="H185" s="9" t="n">
        <v>0.1</v>
      </c>
      <c r="I185" s="9" t="n">
        <v>0</v>
      </c>
      <c r="J185" s="9" t="n">
        <v>1</v>
      </c>
      <c r="K185" s="9" t="n">
        <v>0</v>
      </c>
      <c r="L185" s="9" t="n">
        <v>445</v>
      </c>
      <c r="M185" s="8" t="inlineStr">
        <is>
          <t>食品營養成分資料庫 E9900801</t>
        </is>
      </c>
    </row>
    <row r="186">
      <c r="A186" s="8" t="inlineStr">
        <is>
          <t>乾川耳</t>
        </is>
      </c>
      <c r="B186" s="8" t="n"/>
      <c r="C186" s="8" t="inlineStr">
        <is>
          <t>乾貨</t>
        </is>
      </c>
      <c r="D186" s="8" t="inlineStr">
        <is>
          <t>菇類</t>
        </is>
      </c>
      <c r="E186" s="9" t="n">
        <v>336</v>
      </c>
      <c r="F186" s="9" t="n">
        <v>9</v>
      </c>
      <c r="G186" s="9" t="n">
        <v>0.3</v>
      </c>
      <c r="H186" s="9" t="n">
        <v>0.1</v>
      </c>
      <c r="I186" s="9" t="n">
        <v>0</v>
      </c>
      <c r="J186" s="9" t="n">
        <v>79.40000000000001</v>
      </c>
      <c r="K186" s="9" t="n">
        <v>0</v>
      </c>
      <c r="L186" s="9" t="n">
        <v>18</v>
      </c>
      <c r="M186" s="8" t="inlineStr">
        <is>
          <t>食品營養成分資料庫 G0110201</t>
        </is>
      </c>
    </row>
    <row r="187">
      <c r="A187" s="8" t="inlineStr">
        <is>
          <t>銀耳</t>
        </is>
      </c>
      <c r="B187" s="8" t="inlineStr">
        <is>
          <t>白木耳、雪耳</t>
        </is>
      </c>
      <c r="C187" s="8" t="inlineStr">
        <is>
          <t>生</t>
        </is>
      </c>
      <c r="D187" s="8" t="inlineStr">
        <is>
          <t>菇類</t>
        </is>
      </c>
      <c r="E187" s="9" t="n">
        <v>31</v>
      </c>
      <c r="F187" s="9" t="n">
        <v>1.1</v>
      </c>
      <c r="G187" s="9" t="n">
        <v>0</v>
      </c>
      <c r="H187" s="9" t="n">
        <v>0</v>
      </c>
      <c r="I187" s="9" t="n">
        <v>0</v>
      </c>
      <c r="J187" s="9" t="n">
        <v>7.2</v>
      </c>
      <c r="K187" s="9" t="n">
        <v>0</v>
      </c>
      <c r="L187" s="9" t="n">
        <v>5</v>
      </c>
      <c r="M187" s="8" t="inlineStr">
        <is>
          <t>食品營養成分資料庫 G0200101</t>
        </is>
      </c>
    </row>
    <row r="188">
      <c r="A188" s="8" t="inlineStr">
        <is>
          <t>雪白菇</t>
        </is>
      </c>
      <c r="B188" s="8" t="inlineStr">
        <is>
          <t>美白菇、白玉菇</t>
        </is>
      </c>
      <c r="C188" s="8" t="inlineStr">
        <is>
          <t>生,鴻喜菇的白變種</t>
        </is>
      </c>
      <c r="D188" s="8" t="inlineStr">
        <is>
          <t>菇類</t>
        </is>
      </c>
      <c r="E188" s="9" t="n">
        <v>31</v>
      </c>
      <c r="F188" s="9" t="n">
        <v>2.2</v>
      </c>
      <c r="G188" s="9" t="n">
        <v>0</v>
      </c>
      <c r="H188" s="9" t="n">
        <v>0</v>
      </c>
      <c r="I188" s="9" t="n">
        <v>0</v>
      </c>
      <c r="J188" s="9" t="n">
        <v>6.4</v>
      </c>
      <c r="K188" s="9" t="n">
        <v>0.2</v>
      </c>
      <c r="L188" s="9" t="n">
        <v>1</v>
      </c>
      <c r="M188" s="8" t="inlineStr">
        <is>
          <t>食品營養成分資料庫 G1900201</t>
        </is>
      </c>
    </row>
    <row r="189">
      <c r="A189" s="8" t="inlineStr">
        <is>
          <t>猴頭菇</t>
        </is>
      </c>
      <c r="B189" s="8" t="inlineStr">
        <is>
          <t>猴頭蘑、刺蝟菌、蝟菌、花菜菇、圓頭菇、陰陽蘑、對臉蘑</t>
        </is>
      </c>
      <c r="C189" s="8" t="inlineStr">
        <is>
          <t>生</t>
        </is>
      </c>
      <c r="D189" s="8" t="inlineStr">
        <is>
          <t>菇類</t>
        </is>
      </c>
      <c r="E189" s="9" t="n">
        <v>30</v>
      </c>
      <c r="F189" s="9" t="n">
        <v>2.1</v>
      </c>
      <c r="G189" s="9" t="n">
        <v>0.2</v>
      </c>
      <c r="H189" s="9" t="n">
        <v>0.1</v>
      </c>
      <c r="I189" s="9" t="n">
        <v>0</v>
      </c>
      <c r="J189" s="9" t="n">
        <v>5.9</v>
      </c>
      <c r="K189" s="9" t="n">
        <v>0.4</v>
      </c>
      <c r="L189" s="9" t="n">
        <v>2</v>
      </c>
      <c r="M189" s="8" t="inlineStr">
        <is>
          <t>食品營養成分資料庫 G2300101</t>
        </is>
      </c>
    </row>
    <row r="190">
      <c r="A190" s="8" t="inlineStr">
        <is>
          <t>海帶平均值</t>
        </is>
      </c>
      <c r="B190" s="8" t="inlineStr">
        <is>
          <t>江白菜、昆布、海昆布</t>
        </is>
      </c>
      <c r="C190" s="8" t="inlineStr">
        <is>
          <t>生</t>
        </is>
      </c>
      <c r="D190" s="8" t="inlineStr">
        <is>
          <t>藻類</t>
        </is>
      </c>
      <c r="E190" s="9" t="n">
        <v>19</v>
      </c>
      <c r="F190" s="9" t="n">
        <v>0.7</v>
      </c>
      <c r="G190" s="9" t="n">
        <v>0.1</v>
      </c>
      <c r="H190" s="9" t="n">
        <v>0</v>
      </c>
      <c r="I190" s="9" t="n">
        <v>0</v>
      </c>
      <c r="J190" s="9" t="n">
        <v>4.2</v>
      </c>
      <c r="K190" s="9" t="n">
        <v>0</v>
      </c>
      <c r="L190" s="9" t="n">
        <v>216</v>
      </c>
      <c r="M190" s="8" t="inlineStr">
        <is>
          <t>食品營養成分資料庫 F07001</t>
        </is>
      </c>
    </row>
    <row r="191">
      <c r="A191" s="8" t="inlineStr">
        <is>
          <t>海帶梗</t>
        </is>
      </c>
      <c r="B191" s="8" t="inlineStr">
        <is>
          <t>海帶根</t>
        </is>
      </c>
      <c r="C191" s="8" t="inlineStr">
        <is>
          <t>生</t>
        </is>
      </c>
      <c r="D191" s="8" t="inlineStr">
        <is>
          <t>藻類</t>
        </is>
      </c>
      <c r="E191" s="9" t="n">
        <v>14</v>
      </c>
      <c r="F191" s="9" t="n">
        <v>0.4</v>
      </c>
      <c r="G191" s="9" t="n">
        <v>0</v>
      </c>
      <c r="H191" s="9" t="n">
        <v>0</v>
      </c>
      <c r="I191" s="9" t="n">
        <v>0</v>
      </c>
      <c r="J191" s="9" t="n">
        <v>3.2</v>
      </c>
      <c r="K191" s="9" t="n">
        <v>0</v>
      </c>
      <c r="L191" s="9" t="n">
        <v>122</v>
      </c>
      <c r="M191" s="8" t="inlineStr">
        <is>
          <t>食品營養成分資料庫 F0700103</t>
        </is>
      </c>
    </row>
    <row r="192">
      <c r="A192" s="8" t="inlineStr">
        <is>
          <t>裙帶菜</t>
        </is>
      </c>
      <c r="B192" s="8" t="inlineStr">
        <is>
          <t>海帶芽、嫩海帶</t>
        </is>
      </c>
      <c r="C192" s="8" t="inlineStr">
        <is>
          <t>生,經鹽醃脫水處理</t>
        </is>
      </c>
      <c r="D192" s="8" t="inlineStr">
        <is>
          <t>藻類</t>
        </is>
      </c>
      <c r="E192" s="9" t="n">
        <v>58</v>
      </c>
      <c r="F192" s="9" t="n">
        <v>5</v>
      </c>
      <c r="G192" s="9" t="n">
        <v>0</v>
      </c>
      <c r="H192" s="9" t="n">
        <v>0</v>
      </c>
      <c r="I192" s="9" t="n">
        <v>0</v>
      </c>
      <c r="J192" s="9" t="n">
        <v>11.6</v>
      </c>
      <c r="K192" s="9" t="n">
        <v>0</v>
      </c>
      <c r="L192" s="9" t="n">
        <v>9172</v>
      </c>
      <c r="M192" s="8" t="inlineStr">
        <is>
          <t>食品營養成分資料庫 F0800101</t>
        </is>
      </c>
    </row>
    <row r="193">
      <c r="A193" s="8" t="inlineStr">
        <is>
          <t>鳳尾藻</t>
        </is>
      </c>
      <c r="B193" s="8" t="inlineStr">
        <is>
          <t>紫晶藻</t>
        </is>
      </c>
      <c r="C193" s="8" t="inlineStr">
        <is>
          <t>乾貨</t>
        </is>
      </c>
      <c r="D193" s="8" t="inlineStr">
        <is>
          <t>藻類</t>
        </is>
      </c>
      <c r="E193" s="9" t="n">
        <v>213</v>
      </c>
      <c r="F193" s="9" t="n">
        <v>11.7</v>
      </c>
      <c r="G193" s="9" t="n">
        <v>1.3</v>
      </c>
      <c r="H193" s="9" t="n">
        <v>0.9</v>
      </c>
      <c r="I193" s="9" t="n">
        <v>0</v>
      </c>
      <c r="J193" s="9" t="n">
        <v>43.9</v>
      </c>
      <c r="K193" s="9" t="n">
        <v>0</v>
      </c>
      <c r="L193" s="9" t="n">
        <v>3957</v>
      </c>
      <c r="M193" s="8" t="inlineStr">
        <is>
          <t>食品營養成分資料庫 F0910101</t>
        </is>
      </c>
    </row>
    <row r="194">
      <c r="A194" s="8" t="inlineStr">
        <is>
          <t>葛仙米藻</t>
        </is>
      </c>
      <c r="B194" s="8" t="inlineStr">
        <is>
          <t>雨來菇、地木耳、地軟兒、地皮菜、草皮菇、情人的眼淚</t>
        </is>
      </c>
      <c r="C194" s="8" t="inlineStr">
        <is>
          <t>生,冷藏袋裝</t>
        </is>
      </c>
      <c r="D194" s="8" t="inlineStr">
        <is>
          <t>藻類</t>
        </is>
      </c>
      <c r="E194" s="9" t="n">
        <v>24</v>
      </c>
      <c r="F194" s="9" t="n">
        <v>1.3</v>
      </c>
      <c r="G194" s="9" t="n">
        <v>0</v>
      </c>
      <c r="H194" s="9" t="n">
        <v>0</v>
      </c>
      <c r="I194" s="9" t="n">
        <v>0</v>
      </c>
      <c r="J194" s="9" t="n">
        <v>5.2</v>
      </c>
      <c r="K194" s="9" t="n">
        <v>0</v>
      </c>
      <c r="L194" s="9" t="n">
        <v>14</v>
      </c>
      <c r="M194" s="8" t="inlineStr">
        <is>
          <t>食品營養成分資料庫 F1000101</t>
        </is>
      </c>
    </row>
    <row r="195">
      <c r="A195" s="8" t="inlineStr">
        <is>
          <t>骨腿平均值</t>
        </is>
      </c>
      <c r="B195" s="8" t="n"/>
      <c r="C195" s="8" t="inlineStr">
        <is>
          <t>生,雞腿部位</t>
        </is>
      </c>
      <c r="D195" s="8" t="inlineStr">
        <is>
          <t>肉類</t>
        </is>
      </c>
      <c r="E195" s="9" t="n">
        <v>163</v>
      </c>
      <c r="F195" s="9" t="n">
        <v>18</v>
      </c>
      <c r="G195" s="9" t="n">
        <v>9.5</v>
      </c>
      <c r="H195" s="9" t="n">
        <v>2.7</v>
      </c>
      <c r="I195" s="9" t="n">
        <v>0.04138</v>
      </c>
      <c r="J195" s="9" t="n">
        <v>0.2</v>
      </c>
      <c r="K195" s="9" t="n">
        <v>0</v>
      </c>
      <c r="L195" s="9" t="n">
        <v>68</v>
      </c>
      <c r="M195" s="8" t="inlineStr">
        <is>
          <t>食品營養成分資料庫 I04041</t>
        </is>
      </c>
    </row>
    <row r="196">
      <c r="A196" s="8" t="inlineStr">
        <is>
          <t>棒棒腿平均值</t>
        </is>
      </c>
      <c r="B196" s="8" t="n"/>
      <c r="C196" s="8" t="inlineStr">
        <is>
          <t>生,雞腿部位</t>
        </is>
      </c>
      <c r="D196" s="8" t="inlineStr">
        <is>
          <t>肉類</t>
        </is>
      </c>
      <c r="E196" s="9" t="n">
        <v>151</v>
      </c>
      <c r="F196" s="9" t="n">
        <v>18.9</v>
      </c>
      <c r="G196" s="9" t="n">
        <v>7.8</v>
      </c>
      <c r="H196" s="9" t="n">
        <v>2.2</v>
      </c>
      <c r="I196" s="9" t="n">
        <v>0.03029</v>
      </c>
      <c r="J196" s="9" t="n">
        <v>0</v>
      </c>
      <c r="K196" s="9" t="n">
        <v>0</v>
      </c>
      <c r="L196" s="9" t="n">
        <v>139</v>
      </c>
      <c r="M196" s="8" t="inlineStr">
        <is>
          <t>食品營養成分資料庫 I04043</t>
        </is>
      </c>
    </row>
    <row r="197">
      <c r="A197" s="8" t="inlineStr">
        <is>
          <t>二節翅平均值</t>
        </is>
      </c>
      <c r="B197" s="8" t="n"/>
      <c r="C197" s="8" t="inlineStr">
        <is>
          <t>生,雞翅部位</t>
        </is>
      </c>
      <c r="D197" s="8" t="inlineStr">
        <is>
          <t>肉類</t>
        </is>
      </c>
      <c r="E197" s="9" t="n">
        <v>226</v>
      </c>
      <c r="F197" s="9" t="n">
        <v>18.1</v>
      </c>
      <c r="G197" s="9" t="n">
        <v>16.4</v>
      </c>
      <c r="H197" s="9" t="n">
        <v>4.4</v>
      </c>
      <c r="I197" s="9" t="n">
        <v>0.03055</v>
      </c>
      <c r="J197" s="9" t="n">
        <v>0</v>
      </c>
      <c r="K197" s="9" t="n">
        <v>0</v>
      </c>
      <c r="L197" s="9" t="n">
        <v>83</v>
      </c>
      <c r="M197" s="8" t="inlineStr">
        <is>
          <t>食品營養成分資料庫 I04061</t>
        </is>
      </c>
    </row>
    <row r="198">
      <c r="A198" s="8" t="inlineStr">
        <is>
          <t>無骨牛小排(美牛)</t>
        </is>
      </c>
      <c r="B198" s="8" t="n"/>
      <c r="C198" s="8" t="inlineStr">
        <is>
          <t>生,牛肋脊部位,冷藏</t>
        </is>
      </c>
      <c r="D198" s="8" t="inlineStr">
        <is>
          <t>肉類</t>
        </is>
      </c>
      <c r="E198" s="9" t="n">
        <v>335</v>
      </c>
      <c r="F198" s="9" t="n">
        <v>15.6</v>
      </c>
      <c r="G198" s="9" t="n">
        <v>29.8</v>
      </c>
      <c r="H198" s="9" t="n">
        <v>14.2</v>
      </c>
      <c r="I198" s="9" t="n">
        <v>0.15167</v>
      </c>
      <c r="J198" s="9" t="n">
        <v>0.2</v>
      </c>
      <c r="K198" s="9" t="n">
        <v>0</v>
      </c>
      <c r="L198" s="9" t="n">
        <v>53</v>
      </c>
      <c r="M198" s="8" t="inlineStr">
        <is>
          <t>食品營養成分資料庫 I0100103</t>
        </is>
      </c>
    </row>
    <row r="199">
      <c r="A199" s="8" t="inlineStr">
        <is>
          <t>牛肋條(2021年取樣)</t>
        </is>
      </c>
      <c r="B199" s="8" t="n"/>
      <c r="C199" s="8" t="inlineStr">
        <is>
          <t>生,牛肋脊部位,冷凍產品</t>
        </is>
      </c>
      <c r="D199" s="8" t="inlineStr">
        <is>
          <t>肉類</t>
        </is>
      </c>
      <c r="E199" s="9" t="n">
        <v>358</v>
      </c>
      <c r="F199" s="9" t="n">
        <v>15.7</v>
      </c>
      <c r="G199" s="9" t="n">
        <v>32.3</v>
      </c>
      <c r="H199" s="9" t="n">
        <v>16</v>
      </c>
      <c r="I199" s="9" t="n">
        <v>2.10223</v>
      </c>
      <c r="J199" s="9" t="n">
        <v>0.3</v>
      </c>
      <c r="K199" s="9" t="n">
        <v>0</v>
      </c>
      <c r="L199" s="9" t="n">
        <v>39</v>
      </c>
      <c r="M199" s="8" t="inlineStr">
        <is>
          <t>食品營養成分資料庫 I0100202</t>
        </is>
      </c>
    </row>
    <row r="200">
      <c r="A200" s="8" t="inlineStr">
        <is>
          <t>牛後腿股肉</t>
        </is>
      </c>
      <c r="B200" s="8" t="inlineStr">
        <is>
          <t>和尚頭、牛霖</t>
        </is>
      </c>
      <c r="C200" s="8" t="inlineStr">
        <is>
          <t>生,牛後腿部位,冷凍產品</t>
        </is>
      </c>
      <c r="D200" s="8" t="inlineStr">
        <is>
          <t>肉類</t>
        </is>
      </c>
      <c r="E200" s="9" t="n">
        <v>153</v>
      </c>
      <c r="F200" s="9" t="n">
        <v>20.6</v>
      </c>
      <c r="G200" s="9" t="n">
        <v>7.2</v>
      </c>
      <c r="H200" s="9" t="n">
        <v>3.5</v>
      </c>
      <c r="I200" s="9" t="n">
        <v>0.20822</v>
      </c>
      <c r="J200" s="9" t="n">
        <v>0.8</v>
      </c>
      <c r="K200" s="9" t="n">
        <v>0.1</v>
      </c>
      <c r="L200" s="9" t="n">
        <v>48</v>
      </c>
      <c r="M200" s="8" t="inlineStr">
        <is>
          <t>食品營養成分資料庫 I0108201</t>
        </is>
      </c>
    </row>
    <row r="201">
      <c r="A201" s="8" t="inlineStr">
        <is>
          <t>牛後腿腱子心(2022年取樣)</t>
        </is>
      </c>
      <c r="B201" s="8" t="inlineStr">
        <is>
          <t>牛腱、腱子</t>
        </is>
      </c>
      <c r="C201" s="8" t="inlineStr">
        <is>
          <t>生,牛後腿部位,冷凍產品</t>
        </is>
      </c>
      <c r="D201" s="8" t="inlineStr">
        <is>
          <t>肉類</t>
        </is>
      </c>
      <c r="E201" s="9" t="n">
        <v>151</v>
      </c>
      <c r="F201" s="9" t="n">
        <v>23.7</v>
      </c>
      <c r="G201" s="9" t="n">
        <v>5.5</v>
      </c>
      <c r="H201" s="9" t="n">
        <v>2.3</v>
      </c>
      <c r="I201" s="9" t="n">
        <v>0.10729</v>
      </c>
      <c r="J201" s="9" t="n">
        <v>4</v>
      </c>
      <c r="K201" s="9" t="n">
        <v>0</v>
      </c>
      <c r="L201" s="9" t="n">
        <v>63</v>
      </c>
      <c r="M201" s="8" t="inlineStr">
        <is>
          <t>食品營養成分資料庫 I0108302</t>
        </is>
      </c>
    </row>
    <row r="202">
      <c r="A202" s="8" t="inlineStr">
        <is>
          <t>豬肩胛排(2021年取樣)</t>
        </is>
      </c>
      <c r="B202" s="8" t="n"/>
      <c r="C202" s="8" t="inlineStr">
        <is>
          <t>生,豬肩胛部位</t>
        </is>
      </c>
      <c r="D202" s="8" t="inlineStr">
        <is>
          <t>肉類</t>
        </is>
      </c>
      <c r="E202" s="9" t="n">
        <v>244</v>
      </c>
      <c r="F202" s="9" t="n">
        <v>17.8</v>
      </c>
      <c r="G202" s="9" t="n">
        <v>18.7</v>
      </c>
      <c r="H202" s="9" t="n">
        <v>7.1</v>
      </c>
      <c r="I202" s="9" t="n">
        <v>0.03863</v>
      </c>
      <c r="J202" s="9" t="n">
        <v>0</v>
      </c>
      <c r="K202" s="9" t="n">
        <v>0</v>
      </c>
      <c r="L202" s="9" t="n">
        <v>64</v>
      </c>
      <c r="M202" s="8" t="inlineStr">
        <is>
          <t>食品營養成分資料庫 I0300502</t>
        </is>
      </c>
    </row>
    <row r="203">
      <c r="A203" s="8" t="inlineStr">
        <is>
          <t>豬後腿外腱肉</t>
        </is>
      </c>
      <c r="B203" s="8" t="inlineStr">
        <is>
          <t>豬腱、外腱</t>
        </is>
      </c>
      <c r="C203" s="8" t="inlineStr">
        <is>
          <t>生,豬後腿部位</t>
        </is>
      </c>
      <c r="D203" s="8" t="inlineStr">
        <is>
          <t>肉類</t>
        </is>
      </c>
      <c r="E203" s="9" t="n">
        <v>184</v>
      </c>
      <c r="F203" s="9" t="n">
        <v>19</v>
      </c>
      <c r="G203" s="9" t="n">
        <v>11.4</v>
      </c>
      <c r="H203" s="9" t="n">
        <v>4.4</v>
      </c>
      <c r="I203" s="9" t="n">
        <v>0.01968</v>
      </c>
      <c r="J203" s="9" t="n">
        <v>0.8</v>
      </c>
      <c r="K203" s="9" t="n">
        <v>0</v>
      </c>
      <c r="L203" s="9" t="n">
        <v>66</v>
      </c>
      <c r="M203" s="8" t="inlineStr">
        <is>
          <t>食品營養成分資料庫 I0302101</t>
        </is>
      </c>
    </row>
    <row r="204">
      <c r="A204" s="8" t="inlineStr">
        <is>
          <t>豬後腿瘦肉</t>
        </is>
      </c>
      <c r="B204" s="8" t="n"/>
      <c r="C204" s="8" t="inlineStr">
        <is>
          <t>生,豬後腿部位</t>
        </is>
      </c>
      <c r="D204" s="8" t="inlineStr">
        <is>
          <t>肉類</t>
        </is>
      </c>
      <c r="E204" s="9" t="n">
        <v>120</v>
      </c>
      <c r="F204" s="9" t="n">
        <v>21.1</v>
      </c>
      <c r="G204" s="9" t="n">
        <v>3.4</v>
      </c>
      <c r="H204" s="9" t="n">
        <v>1.2</v>
      </c>
      <c r="I204" s="9" t="n">
        <v>0.02585</v>
      </c>
      <c r="J204" s="9" t="n">
        <v>0.3</v>
      </c>
      <c r="K204" s="9" t="n">
        <v>0.1</v>
      </c>
      <c r="L204" s="9" t="n">
        <v>41</v>
      </c>
      <c r="M204" s="8" t="inlineStr">
        <is>
          <t>食品營養成分資料庫 I0302301</t>
        </is>
      </c>
    </row>
    <row r="205">
      <c r="A205" s="8" t="inlineStr">
        <is>
          <t>豬頰肉(2022年取樣)</t>
        </is>
      </c>
      <c r="B205" s="8" t="inlineStr">
        <is>
          <t>豬舌肉、菊花肉</t>
        </is>
      </c>
      <c r="C205" s="8" t="inlineStr">
        <is>
          <t>生,與豬舌相連之豬肉</t>
        </is>
      </c>
      <c r="D205" s="8" t="inlineStr">
        <is>
          <t>肉類</t>
        </is>
      </c>
      <c r="E205" s="9" t="n">
        <v>157</v>
      </c>
      <c r="F205" s="9" t="n">
        <v>18.9</v>
      </c>
      <c r="G205" s="9" t="n">
        <v>8.4</v>
      </c>
      <c r="H205" s="9" t="n">
        <v>2.4</v>
      </c>
      <c r="I205" s="9" t="n">
        <v>0.0688</v>
      </c>
      <c r="J205" s="9" t="n">
        <v>2.1</v>
      </c>
      <c r="K205" s="9" t="n">
        <v>0.1</v>
      </c>
      <c r="L205" s="9" t="n">
        <v>67</v>
      </c>
      <c r="M205" s="8" t="inlineStr">
        <is>
          <t>食品營養成分資料庫 I0310202</t>
        </is>
      </c>
    </row>
    <row r="206">
      <c r="A206" s="8" t="inlineStr">
        <is>
          <t>豬耳</t>
        </is>
      </c>
      <c r="B206" s="8" t="n"/>
      <c r="C206" s="8" t="inlineStr">
        <is>
          <t>生,豬臟器</t>
        </is>
      </c>
      <c r="D206" s="8" t="inlineStr">
        <is>
          <t>肉類</t>
        </is>
      </c>
      <c r="E206" s="9" t="n">
        <v>219</v>
      </c>
      <c r="F206" s="9" t="n">
        <v>24.2</v>
      </c>
      <c r="G206" s="9" t="n">
        <v>12.8</v>
      </c>
      <c r="H206" s="9" t="n">
        <v>4.3</v>
      </c>
      <c r="I206" s="9" t="n">
        <v>0.01113</v>
      </c>
      <c r="J206" s="9" t="n">
        <v>0.9</v>
      </c>
      <c r="K206" s="9" t="n">
        <v>0</v>
      </c>
      <c r="L206" s="9" t="n">
        <v>175</v>
      </c>
      <c r="M206" s="8" t="inlineStr">
        <is>
          <t>食品營養成分資料庫 I0320401</t>
        </is>
      </c>
    </row>
    <row r="207">
      <c r="A207" s="8" t="inlineStr">
        <is>
          <t>豬肝</t>
        </is>
      </c>
      <c r="B207" s="8" t="n"/>
      <c r="C207" s="8" t="inlineStr">
        <is>
          <t>生,豬臟器</t>
        </is>
      </c>
      <c r="D207" s="8" t="inlineStr">
        <is>
          <t>肉類</t>
        </is>
      </c>
      <c r="E207" s="9" t="n">
        <v>137</v>
      </c>
      <c r="F207" s="9" t="n">
        <v>20.8</v>
      </c>
      <c r="G207" s="9" t="n">
        <v>5.3</v>
      </c>
      <c r="H207" s="9" t="n">
        <v>2.4</v>
      </c>
      <c r="I207" s="9" t="n">
        <v>0.03163</v>
      </c>
      <c r="J207" s="9" t="n">
        <v>1.7</v>
      </c>
      <c r="K207" s="9" t="n">
        <v>0</v>
      </c>
      <c r="L207" s="9" t="n">
        <v>84</v>
      </c>
      <c r="M207" s="8" t="inlineStr">
        <is>
          <t>食品營養成分資料庫 I0320801</t>
        </is>
      </c>
    </row>
    <row r="208">
      <c r="A208" s="8" t="inlineStr">
        <is>
          <t>豬軟骨</t>
        </is>
      </c>
      <c r="B208" s="8" t="n"/>
      <c r="C208" s="8" t="inlineStr">
        <is>
          <t>生,軟骨帶部份肉</t>
        </is>
      </c>
      <c r="D208" s="8" t="inlineStr">
        <is>
          <t>肉類</t>
        </is>
      </c>
      <c r="E208" s="9" t="n">
        <v>332</v>
      </c>
      <c r="F208" s="9" t="n">
        <v>15.6</v>
      </c>
      <c r="G208" s="9" t="n">
        <v>29.4</v>
      </c>
      <c r="H208" s="9" t="n">
        <v>11.1</v>
      </c>
      <c r="I208" s="9" t="n">
        <v>0.09361999999999999</v>
      </c>
      <c r="J208" s="9" t="n">
        <v>0</v>
      </c>
      <c r="K208" s="9" t="n">
        <v>0</v>
      </c>
      <c r="L208" s="9" t="n">
        <v>90</v>
      </c>
      <c r="M208" s="8" t="inlineStr">
        <is>
          <t>食品營養成分資料庫 I0321501</t>
        </is>
      </c>
    </row>
    <row r="209">
      <c r="A209" s="8" t="inlineStr">
        <is>
          <t>豬後腳</t>
        </is>
      </c>
      <c r="B209" s="8" t="inlineStr">
        <is>
          <t>豬腳、豬蹄、長腳</t>
        </is>
      </c>
      <c r="C209" s="8" t="inlineStr">
        <is>
          <t>生,豬腳</t>
        </is>
      </c>
      <c r="D209" s="8" t="inlineStr">
        <is>
          <t>肉類</t>
        </is>
      </c>
      <c r="E209" s="9" t="n">
        <v>253</v>
      </c>
      <c r="F209" s="9" t="n">
        <v>19.5</v>
      </c>
      <c r="G209" s="9" t="n">
        <v>18.8</v>
      </c>
      <c r="H209" s="9" t="n">
        <v>5.5</v>
      </c>
      <c r="I209" s="9" t="n">
        <v>0.05678</v>
      </c>
      <c r="J209" s="9" t="n">
        <v>0</v>
      </c>
      <c r="K209" s="9" t="n">
        <v>0</v>
      </c>
      <c r="L209" s="9" t="n">
        <v>69</v>
      </c>
      <c r="M209" s="8" t="inlineStr">
        <is>
          <t>食品營養成分資料庫 I0322201</t>
        </is>
      </c>
    </row>
    <row r="210">
      <c r="A210" s="8" t="inlineStr">
        <is>
          <t>土雞</t>
        </is>
      </c>
      <c r="B210" s="8" t="inlineStr">
        <is>
          <t>放山雞、走地雞</t>
        </is>
      </c>
      <c r="C210" s="8" t="inlineStr">
        <is>
          <t>生,全雞肉</t>
        </is>
      </c>
      <c r="D210" s="8" t="inlineStr">
        <is>
          <t>肉類</t>
        </is>
      </c>
      <c r="E210" s="9" t="n">
        <v>196</v>
      </c>
      <c r="F210" s="9" t="n">
        <v>19</v>
      </c>
      <c r="G210" s="9" t="n">
        <v>12.7</v>
      </c>
      <c r="H210" s="9" t="n">
        <v>3.2</v>
      </c>
      <c r="I210" s="9" t="n">
        <v>0.02537</v>
      </c>
      <c r="J210" s="9" t="n">
        <v>0</v>
      </c>
      <c r="K210" s="9" t="n">
        <v>0</v>
      </c>
      <c r="L210" s="9" t="n">
        <v>70</v>
      </c>
      <c r="M210" s="8" t="inlineStr">
        <is>
          <t>食品營養成分資料庫 I0400101</t>
        </is>
      </c>
    </row>
    <row r="211">
      <c r="A211" s="8" t="inlineStr">
        <is>
          <t>烏骨雞</t>
        </is>
      </c>
      <c r="B211" s="8" t="inlineStr">
        <is>
          <t>竹絲雞、絲羽烏骨雞、武山雞、烏雞</t>
        </is>
      </c>
      <c r="C211" s="8" t="inlineStr">
        <is>
          <t>生,全雞肉</t>
        </is>
      </c>
      <c r="D211" s="8" t="inlineStr">
        <is>
          <t>肉類</t>
        </is>
      </c>
      <c r="E211" s="9" t="n">
        <v>212</v>
      </c>
      <c r="F211" s="9" t="n">
        <v>17.9</v>
      </c>
      <c r="G211" s="9" t="n">
        <v>15.1</v>
      </c>
      <c r="H211" s="9" t="n">
        <v>4.2</v>
      </c>
      <c r="I211" s="9" t="n">
        <v>0.0572</v>
      </c>
      <c r="J211" s="9" t="n">
        <v>0.9</v>
      </c>
      <c r="K211" s="9" t="n">
        <v>0</v>
      </c>
      <c r="L211" s="9" t="n">
        <v>42</v>
      </c>
      <c r="M211" s="8" t="inlineStr">
        <is>
          <t>食品營養成分資料庫 I0400301</t>
        </is>
      </c>
    </row>
    <row r="212">
      <c r="A212" s="8" t="inlineStr">
        <is>
          <t>去皮清肉(肉雞)</t>
        </is>
      </c>
      <c r="B212" s="8" t="inlineStr">
        <is>
          <t>去皮雞胸肉</t>
        </is>
      </c>
      <c r="C212" s="8" t="inlineStr">
        <is>
          <t>生,雞胸部位</t>
        </is>
      </c>
      <c r="D212" s="8" t="inlineStr">
        <is>
          <t>肉類</t>
        </is>
      </c>
      <c r="E212" s="9" t="n">
        <v>117</v>
      </c>
      <c r="F212" s="9" t="n">
        <v>23.3</v>
      </c>
      <c r="G212" s="9" t="n">
        <v>1.9</v>
      </c>
      <c r="H212" s="9" t="n">
        <v>0.6</v>
      </c>
      <c r="I212" s="9" t="n">
        <v>0.00604</v>
      </c>
      <c r="J212" s="9" t="n">
        <v>0.6</v>
      </c>
      <c r="K212" s="9" t="n">
        <v>0</v>
      </c>
      <c r="L212" s="9" t="n">
        <v>33</v>
      </c>
      <c r="M212" s="8" t="inlineStr">
        <is>
          <t>食品營養成分資料庫 I0402402</t>
        </is>
      </c>
    </row>
    <row r="213">
      <c r="A213" s="8" t="inlineStr">
        <is>
          <t>骨腿(肉雞)</t>
        </is>
      </c>
      <c r="B213" s="8" t="inlineStr">
        <is>
          <t>雞腿</t>
        </is>
      </c>
      <c r="C213" s="8" t="inlineStr">
        <is>
          <t>生,雞腿部位</t>
        </is>
      </c>
      <c r="D213" s="8" t="inlineStr">
        <is>
          <t>肉類</t>
        </is>
      </c>
      <c r="E213" s="9" t="n">
        <v>196</v>
      </c>
      <c r="F213" s="9" t="n">
        <v>14.4</v>
      </c>
      <c r="G213" s="9" t="n">
        <v>14.9</v>
      </c>
      <c r="H213" s="9" t="n">
        <v>4.2</v>
      </c>
      <c r="I213" s="9" t="n">
        <v>0.04138</v>
      </c>
      <c r="J213" s="9" t="n">
        <v>1.7</v>
      </c>
      <c r="K213" s="9" t="n">
        <v>0</v>
      </c>
      <c r="L213" s="9" t="n">
        <v>84</v>
      </c>
      <c r="M213" s="8" t="inlineStr">
        <is>
          <t>食品營養成分資料庫 I0404102</t>
        </is>
      </c>
    </row>
    <row r="214">
      <c r="A214" s="8" t="inlineStr">
        <is>
          <t>棒棒腿(肉雞)</t>
        </is>
      </c>
      <c r="B214" s="8" t="inlineStr">
        <is>
          <t>雞腿</t>
        </is>
      </c>
      <c r="C214" s="8" t="inlineStr">
        <is>
          <t>生,雞腿部位</t>
        </is>
      </c>
      <c r="D214" s="8" t="inlineStr">
        <is>
          <t>肉類</t>
        </is>
      </c>
      <c r="E214" s="9" t="n">
        <v>159</v>
      </c>
      <c r="F214" s="9" t="n">
        <v>16.8</v>
      </c>
      <c r="G214" s="9" t="n">
        <v>9.699999999999999</v>
      </c>
      <c r="H214" s="9" t="n">
        <v>2.9</v>
      </c>
      <c r="I214" s="9" t="n">
        <v>0.03029</v>
      </c>
      <c r="J214" s="9" t="n">
        <v>0.3</v>
      </c>
      <c r="K214" s="9" t="n">
        <v>0</v>
      </c>
      <c r="L214" s="9" t="n">
        <v>109</v>
      </c>
      <c r="M214" s="8" t="inlineStr">
        <is>
          <t>食品營養成分資料庫 I0404302</t>
        </is>
      </c>
    </row>
    <row r="215">
      <c r="A215" s="8" t="inlineStr">
        <is>
          <t>雞排(肉雞)(2021年取樣)</t>
        </is>
      </c>
      <c r="B215" s="8" t="n"/>
      <c r="C215" s="8" t="inlineStr">
        <is>
          <t>生,雞腿部位</t>
        </is>
      </c>
      <c r="D215" s="8" t="inlineStr">
        <is>
          <t>肉類</t>
        </is>
      </c>
      <c r="E215" s="9" t="n">
        <v>251</v>
      </c>
      <c r="F215" s="9" t="n">
        <v>14.9</v>
      </c>
      <c r="G215" s="9" t="n">
        <v>20.8</v>
      </c>
      <c r="H215" s="9" t="n">
        <v>5.8</v>
      </c>
      <c r="I215" s="9" t="n">
        <v>0.10243</v>
      </c>
      <c r="J215" s="9" t="n">
        <v>0</v>
      </c>
      <c r="K215" s="9" t="n">
        <v>0</v>
      </c>
      <c r="L215" s="9" t="n">
        <v>94</v>
      </c>
      <c r="M215" s="8" t="inlineStr">
        <is>
          <t>食品營養成分資料庫 I0404403</t>
        </is>
      </c>
    </row>
    <row r="216">
      <c r="A216" s="8" t="inlineStr">
        <is>
          <t>去皮去骨雞腿(肉雞)</t>
        </is>
      </c>
      <c r="B216" s="8" t="n"/>
      <c r="C216" s="8" t="inlineStr">
        <is>
          <t>生,雞腿部位</t>
        </is>
      </c>
      <c r="D216" s="8" t="inlineStr">
        <is>
          <t>肉類</t>
        </is>
      </c>
      <c r="E216" s="9" t="n">
        <v>165</v>
      </c>
      <c r="F216" s="9" t="n">
        <v>19.8</v>
      </c>
      <c r="G216" s="9" t="n">
        <v>8.9</v>
      </c>
      <c r="H216" s="9" t="n">
        <v>2.4</v>
      </c>
      <c r="I216" s="9" t="n">
        <v>0.03329</v>
      </c>
      <c r="J216" s="9" t="n">
        <v>0</v>
      </c>
      <c r="K216" s="9" t="n">
        <v>0</v>
      </c>
      <c r="L216" s="9" t="n">
        <v>68</v>
      </c>
      <c r="M216" s="8" t="inlineStr">
        <is>
          <t>食品營養成分資料庫 I0404501</t>
        </is>
      </c>
    </row>
    <row r="217">
      <c r="A217" s="8" t="inlineStr">
        <is>
          <t>二節翅(肉雞)</t>
        </is>
      </c>
      <c r="B217" s="8" t="n"/>
      <c r="C217" s="8" t="inlineStr">
        <is>
          <t>生,雞翅部位</t>
        </is>
      </c>
      <c r="D217" s="8" t="inlineStr">
        <is>
          <t>肉類</t>
        </is>
      </c>
      <c r="E217" s="9" t="n">
        <v>223</v>
      </c>
      <c r="F217" s="9" t="n">
        <v>16.4</v>
      </c>
      <c r="G217" s="9" t="n">
        <v>17</v>
      </c>
      <c r="H217" s="9" t="n">
        <v>4.8</v>
      </c>
      <c r="I217" s="9" t="n">
        <v>0.03055</v>
      </c>
      <c r="J217" s="9" t="n">
        <v>0.6</v>
      </c>
      <c r="K217" s="9" t="n">
        <v>0</v>
      </c>
      <c r="L217" s="9" t="n">
        <v>98</v>
      </c>
      <c r="M217" s="8" t="inlineStr">
        <is>
          <t>食品營養成分資料庫 I0406102</t>
        </is>
      </c>
    </row>
    <row r="218">
      <c r="A218" s="8" t="inlineStr">
        <is>
          <t>雞心(肉雞)(2021年取樣)</t>
        </is>
      </c>
      <c r="B218" s="8" t="n"/>
      <c r="C218" s="8" t="inlineStr">
        <is>
          <t>生,雞臟器</t>
        </is>
      </c>
      <c r="D218" s="8" t="inlineStr">
        <is>
          <t>肉類</t>
        </is>
      </c>
      <c r="E218" s="9" t="n">
        <v>204</v>
      </c>
      <c r="F218" s="9" t="n">
        <v>14.4</v>
      </c>
      <c r="G218" s="9" t="n">
        <v>15.8</v>
      </c>
      <c r="H218" s="9" t="n">
        <v>4.4</v>
      </c>
      <c r="I218" s="9" t="n">
        <v>0.05679</v>
      </c>
      <c r="J218" s="9" t="n">
        <v>1.2</v>
      </c>
      <c r="K218" s="9" t="n">
        <v>0</v>
      </c>
      <c r="L218" s="9" t="n">
        <v>85</v>
      </c>
      <c r="M218" s="8" t="inlineStr">
        <is>
          <t>食品營養成分資料庫 I0420102</t>
        </is>
      </c>
    </row>
    <row r="219">
      <c r="A219" s="8" t="inlineStr">
        <is>
          <t>雞尾椎</t>
        </is>
      </c>
      <c r="B219" s="8" t="inlineStr">
        <is>
          <t>雞屁股</t>
        </is>
      </c>
      <c r="C219" s="8" t="inlineStr">
        <is>
          <t>生,雞臟器</t>
        </is>
      </c>
      <c r="D219" s="8" t="inlineStr">
        <is>
          <t>肉類</t>
        </is>
      </c>
      <c r="E219" s="9" t="n">
        <v>452</v>
      </c>
      <c r="F219" s="9" t="n">
        <v>9</v>
      </c>
      <c r="G219" s="9" t="n">
        <v>45.9</v>
      </c>
      <c r="H219" s="9" t="n">
        <v>13</v>
      </c>
      <c r="I219" s="9" t="n">
        <v>0.12431</v>
      </c>
      <c r="J219" s="9" t="n">
        <v>0.1</v>
      </c>
      <c r="K219" s="9" t="n">
        <v>0</v>
      </c>
      <c r="L219" s="9" t="n">
        <v>35</v>
      </c>
      <c r="M219" s="8" t="inlineStr">
        <is>
          <t>食品營養成分資料庫 I0420201</t>
        </is>
      </c>
    </row>
    <row r="220">
      <c r="A220" s="8" t="inlineStr">
        <is>
          <t>雞腳(肉雞)</t>
        </is>
      </c>
      <c r="B220" s="8" t="inlineStr">
        <is>
          <t>雞爪、鳳爪</t>
        </is>
      </c>
      <c r="C220" s="8" t="inlineStr">
        <is>
          <t>生,雞腳</t>
        </is>
      </c>
      <c r="D220" s="8" t="inlineStr">
        <is>
          <t>肉類</t>
        </is>
      </c>
      <c r="E220" s="9" t="n">
        <v>209</v>
      </c>
      <c r="F220" s="9" t="n">
        <v>20.7</v>
      </c>
      <c r="G220" s="9" t="n">
        <v>13.3</v>
      </c>
      <c r="H220" s="9" t="n">
        <v>2.9</v>
      </c>
      <c r="I220" s="9" t="n">
        <v>0.03567</v>
      </c>
      <c r="J220" s="9" t="n">
        <v>1.2</v>
      </c>
      <c r="K220" s="9" t="n">
        <v>0</v>
      </c>
      <c r="L220" s="9" t="n">
        <v>102</v>
      </c>
      <c r="M220" s="8" t="inlineStr">
        <is>
          <t>食品營養成分資料庫 I0420801</t>
        </is>
      </c>
    </row>
    <row r="221">
      <c r="A221" s="8" t="inlineStr">
        <is>
          <t>雞皮(肉雞)</t>
        </is>
      </c>
      <c r="B221" s="8" t="n"/>
      <c r="C221" s="8" t="inlineStr">
        <is>
          <t>生,雞臟器</t>
        </is>
      </c>
      <c r="D221" s="8" t="inlineStr">
        <is>
          <t>肉類</t>
        </is>
      </c>
      <c r="E221" s="9" t="n">
        <v>442</v>
      </c>
      <c r="F221" s="9" t="n">
        <v>11.7</v>
      </c>
      <c r="G221" s="9" t="n">
        <v>43.4</v>
      </c>
      <c r="H221" s="9" t="n">
        <v>11.2</v>
      </c>
      <c r="I221" s="9" t="n">
        <v>0.15508</v>
      </c>
      <c r="J221" s="9" t="n">
        <v>0</v>
      </c>
      <c r="K221" s="9" t="n">
        <v>0</v>
      </c>
      <c r="L221" s="9" t="n">
        <v>40</v>
      </c>
      <c r="M221" s="8" t="inlineStr">
        <is>
          <t>食品營養成分資料庫 I0421001</t>
        </is>
      </c>
    </row>
    <row r="222">
      <c r="A222" s="8" t="inlineStr">
        <is>
          <t>去骨鴨掌</t>
        </is>
      </c>
      <c r="B222" s="8" t="n"/>
      <c r="C222" s="8" t="inlineStr">
        <is>
          <t>生</t>
        </is>
      </c>
      <c r="D222" s="8" t="inlineStr">
        <is>
          <t>肉類</t>
        </is>
      </c>
      <c r="E222" s="9" t="n">
        <v>113</v>
      </c>
      <c r="F222" s="9" t="n">
        <v>12.6</v>
      </c>
      <c r="G222" s="9" t="n">
        <v>6.6</v>
      </c>
      <c r="H222" s="9" t="n">
        <v>1.5</v>
      </c>
      <c r="I222" s="9" t="n">
        <v>0.03525</v>
      </c>
      <c r="J222" s="9" t="n">
        <v>0</v>
      </c>
      <c r="K222" s="9" t="n">
        <v>0</v>
      </c>
      <c r="L222" s="9" t="n">
        <v>78</v>
      </c>
      <c r="M222" s="8" t="inlineStr">
        <is>
          <t>食品營養成分資料庫 I0520301</t>
        </is>
      </c>
    </row>
    <row r="223">
      <c r="A223" s="8" t="inlineStr">
        <is>
          <t>鴨翅</t>
        </is>
      </c>
      <c r="B223" s="8" t="n"/>
      <c r="C223" s="8" t="inlineStr">
        <is>
          <t>生</t>
        </is>
      </c>
      <c r="D223" s="8" t="inlineStr">
        <is>
          <t>肉類</t>
        </is>
      </c>
      <c r="E223" s="9" t="n">
        <v>170</v>
      </c>
      <c r="F223" s="9" t="n">
        <v>22.8</v>
      </c>
      <c r="G223" s="9" t="n">
        <v>8.1</v>
      </c>
      <c r="H223" s="9" t="n">
        <v>2.4</v>
      </c>
      <c r="I223" s="9" t="n">
        <v>0.01615</v>
      </c>
      <c r="J223" s="9" t="n">
        <v>0</v>
      </c>
      <c r="K223" s="9" t="n">
        <v>0</v>
      </c>
      <c r="L223" s="9" t="n">
        <v>67</v>
      </c>
      <c r="M223" s="8" t="inlineStr">
        <is>
          <t>食品營養成分資料庫 I0520601</t>
        </is>
      </c>
    </row>
    <row r="224">
      <c r="A224" s="8" t="inlineStr">
        <is>
          <t>鴨頭</t>
        </is>
      </c>
      <c r="B224" s="8" t="n"/>
      <c r="C224" s="8" t="inlineStr">
        <is>
          <t>生</t>
        </is>
      </c>
      <c r="D224" s="8" t="inlineStr">
        <is>
          <t>肉類</t>
        </is>
      </c>
      <c r="E224" s="9" t="n">
        <v>199</v>
      </c>
      <c r="F224" s="9" t="n">
        <v>16.5</v>
      </c>
      <c r="G224" s="9" t="n">
        <v>14.3</v>
      </c>
      <c r="H224" s="9" t="n">
        <v>4.2</v>
      </c>
      <c r="I224" s="9" t="n">
        <v>0.09346</v>
      </c>
      <c r="J224" s="9" t="n">
        <v>0</v>
      </c>
      <c r="K224" s="9" t="n">
        <v>0</v>
      </c>
      <c r="L224" s="9" t="n">
        <v>74</v>
      </c>
      <c r="M224" s="8" t="inlineStr">
        <is>
          <t>食品營養成分資料庫 I0520701</t>
        </is>
      </c>
    </row>
    <row r="225">
      <c r="A225" s="8" t="inlineStr">
        <is>
          <t>鴨舌</t>
        </is>
      </c>
      <c r="B225" s="8" t="n"/>
      <c r="C225" s="8" t="inlineStr">
        <is>
          <t>生</t>
        </is>
      </c>
      <c r="D225" s="8" t="inlineStr">
        <is>
          <t>肉類</t>
        </is>
      </c>
      <c r="E225" s="9" t="n">
        <v>187</v>
      </c>
      <c r="F225" s="9" t="n">
        <v>16</v>
      </c>
      <c r="G225" s="9" t="n">
        <v>13.2</v>
      </c>
      <c r="H225" s="9" t="n">
        <v>2.8</v>
      </c>
      <c r="I225" s="9" t="n">
        <v>0.08161</v>
      </c>
      <c r="J225" s="9" t="n">
        <v>0</v>
      </c>
      <c r="K225" s="9" t="n">
        <v>0</v>
      </c>
      <c r="L225" s="9" t="n">
        <v>57</v>
      </c>
      <c r="M225" s="8" t="inlineStr">
        <is>
          <t>食品營養成分資料庫 I0520801</t>
        </is>
      </c>
    </row>
    <row r="226">
      <c r="A226" s="8" t="inlineStr">
        <is>
          <t>山豬肉片</t>
        </is>
      </c>
      <c r="B226" s="8" t="inlineStr">
        <is>
          <t>山豬肉</t>
        </is>
      </c>
      <c r="C226" s="8" t="inlineStr">
        <is>
          <t>生,冷凍包裝</t>
        </is>
      </c>
      <c r="D226" s="8" t="inlineStr">
        <is>
          <t>肉類</t>
        </is>
      </c>
      <c r="E226" s="9" t="n">
        <v>466</v>
      </c>
      <c r="F226" s="9" t="n">
        <v>11.9</v>
      </c>
      <c r="G226" s="9" t="n">
        <v>46</v>
      </c>
      <c r="H226" s="9" t="n">
        <v>10.2</v>
      </c>
      <c r="I226" s="9" t="n">
        <v>0.30861</v>
      </c>
      <c r="J226" s="9" t="n">
        <v>0</v>
      </c>
      <c r="K226" s="9" t="n">
        <v>0</v>
      </c>
      <c r="L226" s="9" t="n">
        <v>30</v>
      </c>
      <c r="M226" s="8" t="inlineStr">
        <is>
          <t>食品營養成分資料庫 I1000101</t>
        </is>
      </c>
    </row>
    <row r="227">
      <c r="A227" s="8" t="inlineStr">
        <is>
          <t>魩仔魚(加工)</t>
        </is>
      </c>
      <c r="B227" s="8" t="n"/>
      <c r="C227" s="8" t="inlineStr">
        <is>
          <t>熟,水煮</t>
        </is>
      </c>
      <c r="D227" s="8" t="inlineStr">
        <is>
          <t>魚貝類</t>
        </is>
      </c>
      <c r="E227" s="9" t="n">
        <v>105</v>
      </c>
      <c r="F227" s="9" t="n">
        <v>23</v>
      </c>
      <c r="G227" s="9" t="n">
        <v>0.8</v>
      </c>
      <c r="H227" s="9" t="n">
        <v>0.4</v>
      </c>
      <c r="I227" s="9" t="n">
        <v>0.008330000000000001</v>
      </c>
      <c r="J227" s="9" t="n">
        <v>0</v>
      </c>
      <c r="K227" s="9" t="n">
        <v>0</v>
      </c>
      <c r="L227" s="9" t="n">
        <v>1448</v>
      </c>
      <c r="M227" s="8" t="inlineStr">
        <is>
          <t>食品營養成分資料庫 J0400603</t>
        </is>
      </c>
    </row>
    <row r="228">
      <c r="A228" s="8" t="inlineStr">
        <is>
          <t>日本銀帶鯡魚干(丁香魚脯)</t>
        </is>
      </c>
      <c r="B228" s="8" t="inlineStr">
        <is>
          <t>針嘴鰮、丁香魚、魩仔、丁香、鱙仔、灰海荷鰮</t>
        </is>
      </c>
      <c r="C228" s="8" t="inlineStr">
        <is>
          <t>乾貨</t>
        </is>
      </c>
      <c r="D228" s="8" t="inlineStr">
        <is>
          <t>魚貝類</t>
        </is>
      </c>
      <c r="E228" s="9" t="n">
        <v>275</v>
      </c>
      <c r="F228" s="9" t="n">
        <v>51.8</v>
      </c>
      <c r="G228" s="9" t="n">
        <v>6</v>
      </c>
      <c r="H228" s="9" t="n">
        <v>3.3</v>
      </c>
      <c r="I228" s="9" t="n">
        <v>0</v>
      </c>
      <c r="J228" s="9" t="n">
        <v>1.7</v>
      </c>
      <c r="K228" s="9" t="n">
        <v>0.1</v>
      </c>
      <c r="L228" s="9" t="n">
        <v>1276</v>
      </c>
      <c r="M228" s="8" t="inlineStr">
        <is>
          <t>食品營養成分資料庫 J0400902</t>
        </is>
      </c>
    </row>
    <row r="229">
      <c r="A229" s="8" t="inlineStr">
        <is>
          <t>虱目魚(2022年取樣)</t>
        </is>
      </c>
      <c r="B229" s="8" t="inlineStr">
        <is>
          <t>海草魚、遮目魚、殺目魚、安平魚、國姓魚、麻虱目仔、虱目/麻虱目(澎湖)</t>
        </is>
      </c>
      <c r="C229" s="8" t="inlineStr">
        <is>
          <t>生</t>
        </is>
      </c>
      <c r="D229" s="8" t="inlineStr">
        <is>
          <t>魚貝類</t>
        </is>
      </c>
      <c r="E229" s="9" t="n">
        <v>243</v>
      </c>
      <c r="F229" s="9" t="n">
        <v>20.1</v>
      </c>
      <c r="G229" s="9" t="n">
        <v>17.4</v>
      </c>
      <c r="H229" s="9" t="n">
        <v>5.9</v>
      </c>
      <c r="I229" s="9" t="n">
        <v>0.07718</v>
      </c>
      <c r="J229" s="9" t="n">
        <v>1.4</v>
      </c>
      <c r="K229" s="9" t="n">
        <v>0</v>
      </c>
      <c r="L229" s="9" t="n">
        <v>46</v>
      </c>
      <c r="M229" s="8" t="inlineStr">
        <is>
          <t>食品營養成分資料庫 J0401102</t>
        </is>
      </c>
    </row>
    <row r="230">
      <c r="A230" s="8" t="inlineStr">
        <is>
          <t>日本花鱸(含皮)</t>
        </is>
      </c>
      <c r="B230" s="8" t="inlineStr">
        <is>
          <t>七星鱸、花鱸、青鱸、鱸魚、日本真鱸</t>
        </is>
      </c>
      <c r="C230" s="8" t="inlineStr">
        <is>
          <t>生</t>
        </is>
      </c>
      <c r="D230" s="8" t="inlineStr">
        <is>
          <t>魚貝類</t>
        </is>
      </c>
      <c r="E230" s="9" t="n">
        <v>111</v>
      </c>
      <c r="F230" s="9" t="n">
        <v>19.2</v>
      </c>
      <c r="G230" s="9" t="n">
        <v>3.2</v>
      </c>
      <c r="H230" s="9" t="n">
        <v>1.1</v>
      </c>
      <c r="I230" s="9" t="n">
        <v>0.00957</v>
      </c>
      <c r="J230" s="9" t="n">
        <v>0.8</v>
      </c>
      <c r="K230" s="9" t="n">
        <v>0</v>
      </c>
      <c r="L230" s="9" t="n">
        <v>55</v>
      </c>
      <c r="M230" s="8" t="inlineStr">
        <is>
          <t>食品營養成分資料庫 J0404501</t>
        </is>
      </c>
    </row>
    <row r="231">
      <c r="A231" s="8" t="inlineStr">
        <is>
          <t>龍虎石斑魚</t>
        </is>
      </c>
      <c r="B231" s="8" t="inlineStr">
        <is>
          <t>龍虎斑、巴龍膽、珍珠龍膽、虎膽</t>
        </is>
      </c>
      <c r="C231" s="8" t="inlineStr">
        <is>
          <t>生</t>
        </is>
      </c>
      <c r="D231" s="8" t="inlineStr">
        <is>
          <t>魚貝類</t>
        </is>
      </c>
      <c r="E231" s="9" t="n">
        <v>122</v>
      </c>
      <c r="F231" s="9" t="n">
        <v>20.6</v>
      </c>
      <c r="G231" s="9" t="n">
        <v>3.8</v>
      </c>
      <c r="H231" s="9" t="n">
        <v>1</v>
      </c>
      <c r="I231" s="9" t="n">
        <v>0.00942</v>
      </c>
      <c r="J231" s="9" t="n">
        <v>1.2</v>
      </c>
      <c r="K231" s="9" t="n">
        <v>0.1</v>
      </c>
      <c r="L231" s="9" t="n">
        <v>69</v>
      </c>
      <c r="M231" s="8" t="inlineStr">
        <is>
          <t>食品營養成分資料庫 J0405102</t>
        </is>
      </c>
    </row>
    <row r="232">
      <c r="A232" s="8" t="inlineStr">
        <is>
          <t>長鰭鰤魚</t>
        </is>
      </c>
      <c r="B232" s="8" t="inlineStr">
        <is>
          <t>油甘、黃尾鰺、甘仔、扁午、扁甘、柴魽</t>
        </is>
      </c>
      <c r="C232" s="8" t="inlineStr">
        <is>
          <t>生</t>
        </is>
      </c>
      <c r="D232" s="8" t="inlineStr">
        <is>
          <t>魚貝類</t>
        </is>
      </c>
      <c r="E232" s="9" t="n">
        <v>114</v>
      </c>
      <c r="F232" s="9" t="n">
        <v>22.8</v>
      </c>
      <c r="G232" s="9" t="n">
        <v>1.9</v>
      </c>
      <c r="H232" s="9" t="n">
        <v>0.9</v>
      </c>
      <c r="I232" s="9" t="n">
        <v>0</v>
      </c>
      <c r="J232" s="9" t="n">
        <v>2.7</v>
      </c>
      <c r="K232" s="9" t="n">
        <v>0.1</v>
      </c>
      <c r="L232" s="9" t="n">
        <v>87</v>
      </c>
      <c r="M232" s="8" t="inlineStr">
        <is>
          <t>食品營養成分資料庫 J0407202</t>
        </is>
      </c>
    </row>
    <row r="233">
      <c r="A233" s="8" t="inlineStr">
        <is>
          <t>平鯛</t>
        </is>
      </c>
      <c r="B233" s="8" t="inlineStr">
        <is>
          <t>黃錫鯛、枋頭、邦頭/枋頭/白嘉鱲(澎湖)</t>
        </is>
      </c>
      <c r="C233" s="8" t="inlineStr">
        <is>
          <t>生(養殖),已去鱗片及內臟</t>
        </is>
      </c>
      <c r="D233" s="8" t="inlineStr">
        <is>
          <t>魚貝類</t>
        </is>
      </c>
      <c r="E233" s="9" t="n">
        <v>158</v>
      </c>
      <c r="F233" s="9" t="n">
        <v>21</v>
      </c>
      <c r="G233" s="9" t="n">
        <v>7.6</v>
      </c>
      <c r="H233" s="9" t="n">
        <v>1.9</v>
      </c>
      <c r="I233" s="9" t="n">
        <v>0</v>
      </c>
      <c r="J233" s="9" t="n">
        <v>0.5</v>
      </c>
      <c r="K233" s="9" t="n">
        <v>0</v>
      </c>
      <c r="L233" s="9" t="n">
        <v>32</v>
      </c>
      <c r="M233" s="8" t="inlineStr">
        <is>
          <t>食品營養成分資料庫 J0409701</t>
        </is>
      </c>
    </row>
    <row r="234">
      <c r="A234" s="8" t="inlineStr">
        <is>
          <t>尼羅口孵非鯽(含皮)(2022年取樣)</t>
        </is>
      </c>
      <c r="B234" s="8" t="inlineStr">
        <is>
          <t>南洋鯽仔、尼羅吳郭魚</t>
        </is>
      </c>
      <c r="C234" s="8" t="inlineStr">
        <is>
          <t>生</t>
        </is>
      </c>
      <c r="D234" s="8" t="inlineStr">
        <is>
          <t>魚貝類</t>
        </is>
      </c>
      <c r="E234" s="9" t="n">
        <v>122</v>
      </c>
      <c r="F234" s="9" t="n">
        <v>20.4</v>
      </c>
      <c r="G234" s="9" t="n">
        <v>3.9</v>
      </c>
      <c r="H234" s="9" t="n">
        <v>1</v>
      </c>
      <c r="I234" s="9" t="n">
        <v>0.01271</v>
      </c>
      <c r="J234" s="9" t="n">
        <v>3</v>
      </c>
      <c r="K234" s="9" t="n">
        <v>0</v>
      </c>
      <c r="L234" s="9" t="n">
        <v>62</v>
      </c>
      <c r="M234" s="8" t="inlineStr">
        <is>
          <t>食品營養成分資料庫 J0411802</t>
        </is>
      </c>
    </row>
    <row r="235">
      <c r="A235" s="8" t="inlineStr">
        <is>
          <t>台灣鯛魚片(生)(2021年)</t>
        </is>
      </c>
      <c r="B235" s="8" t="n"/>
      <c r="C235" s="8" t="inlineStr">
        <is>
          <t>生,冷凍包裝</t>
        </is>
      </c>
      <c r="D235" s="8" t="inlineStr">
        <is>
          <t>魚貝類</t>
        </is>
      </c>
      <c r="E235" s="9" t="n">
        <v>109</v>
      </c>
      <c r="F235" s="9" t="n">
        <v>17.9</v>
      </c>
      <c r="G235" s="9" t="n">
        <v>3.7</v>
      </c>
      <c r="H235" s="9" t="n">
        <v>1.3</v>
      </c>
      <c r="I235" s="9" t="n">
        <v>0.02632</v>
      </c>
      <c r="J235" s="9" t="n">
        <v>1.5</v>
      </c>
      <c r="K235" s="9" t="n">
        <v>0.1</v>
      </c>
      <c r="L235" s="9" t="n">
        <v>31</v>
      </c>
      <c r="M235" s="8" t="inlineStr">
        <is>
          <t>食品營養成分資料庫 J0412003</t>
        </is>
      </c>
    </row>
    <row r="236">
      <c r="A236" s="8" t="inlineStr">
        <is>
          <t>花腹鯖</t>
        </is>
      </c>
      <c r="B236" s="8" t="inlineStr">
        <is>
          <t>花飛、青輝、飛威/青飛/胡麻鯖</t>
        </is>
      </c>
      <c r="C236" s="8" t="inlineStr">
        <is>
          <t>生</t>
        </is>
      </c>
      <c r="D236" s="8" t="inlineStr">
        <is>
          <t>魚貝類</t>
        </is>
      </c>
      <c r="E236" s="9" t="n">
        <v>138</v>
      </c>
      <c r="F236" s="9" t="n">
        <v>23.9</v>
      </c>
      <c r="G236" s="9" t="n">
        <v>4</v>
      </c>
      <c r="H236" s="9" t="n">
        <v>1.5</v>
      </c>
      <c r="I236" s="9" t="n">
        <v>0.01281</v>
      </c>
      <c r="J236" s="9" t="n">
        <v>0.1</v>
      </c>
      <c r="K236" s="9" t="n">
        <v>0</v>
      </c>
      <c r="L236" s="9" t="n">
        <v>36</v>
      </c>
      <c r="M236" s="8" t="inlineStr">
        <is>
          <t>食品營養成分資料庫 J0414101</t>
        </is>
      </c>
    </row>
    <row r="237">
      <c r="A237" s="8" t="inlineStr">
        <is>
          <t>銀鯧(含皮)</t>
        </is>
      </c>
      <c r="B237" s="8" t="inlineStr">
        <is>
          <t>白鯧、正鯧、銀鯧、支子</t>
        </is>
      </c>
      <c r="C237" s="8" t="inlineStr">
        <is>
          <t>生</t>
        </is>
      </c>
      <c r="D237" s="8" t="inlineStr">
        <is>
          <t>魚貝類</t>
        </is>
      </c>
      <c r="E237" s="9" t="n">
        <v>124</v>
      </c>
      <c r="F237" s="9" t="n">
        <v>16.8</v>
      </c>
      <c r="G237" s="9" t="n">
        <v>5.8</v>
      </c>
      <c r="H237" s="9" t="n">
        <v>2.8</v>
      </c>
      <c r="I237" s="9" t="n">
        <v>0.01535</v>
      </c>
      <c r="J237" s="9" t="n">
        <v>1.1</v>
      </c>
      <c r="K237" s="9" t="n">
        <v>0</v>
      </c>
      <c r="L237" s="9" t="n">
        <v>315</v>
      </c>
      <c r="M237" s="8" t="inlineStr">
        <is>
          <t>食品營養成分資料庫 J0415401</t>
        </is>
      </c>
    </row>
    <row r="238">
      <c r="A238" s="8" t="inlineStr">
        <is>
          <t>鰈魚切片</t>
        </is>
      </c>
      <c r="B238" s="8" t="inlineStr">
        <is>
          <t>大比目魚(扁鱈)</t>
        </is>
      </c>
      <c r="C238" s="8" t="inlineStr">
        <is>
          <t>生</t>
        </is>
      </c>
      <c r="D238" s="8" t="inlineStr">
        <is>
          <t>魚貝類</t>
        </is>
      </c>
      <c r="E238" s="9" t="n">
        <v>201</v>
      </c>
      <c r="F238" s="9" t="n">
        <v>13.2</v>
      </c>
      <c r="G238" s="9" t="n">
        <v>16.1</v>
      </c>
      <c r="H238" s="9" t="n">
        <v>3.5</v>
      </c>
      <c r="I238" s="9" t="n">
        <v>0</v>
      </c>
      <c r="J238" s="9" t="n">
        <v>0</v>
      </c>
      <c r="K238" s="9" t="n">
        <v>0</v>
      </c>
      <c r="L238" s="9" t="n">
        <v>80</v>
      </c>
      <c r="M238" s="8" t="inlineStr">
        <is>
          <t>食品營養成分資料庫 J0415701</t>
        </is>
      </c>
    </row>
    <row r="239">
      <c r="A239" s="8" t="inlineStr">
        <is>
          <t>秋刀魚</t>
        </is>
      </c>
      <c r="B239" s="8" t="inlineStr">
        <is>
          <t>竹刀魚、山瑪魚</t>
        </is>
      </c>
      <c r="C239" s="8" t="inlineStr">
        <is>
          <t>生</t>
        </is>
      </c>
      <c r="D239" s="8" t="inlineStr">
        <is>
          <t>魚貝類</t>
        </is>
      </c>
      <c r="E239" s="9" t="n">
        <v>277</v>
      </c>
      <c r="F239" s="9" t="n">
        <v>18.8</v>
      </c>
      <c r="G239" s="9" t="n">
        <v>21.8</v>
      </c>
      <c r="H239" s="9" t="n">
        <v>5.6</v>
      </c>
      <c r="I239" s="9" t="n">
        <v>0.01585</v>
      </c>
      <c r="J239" s="9" t="n">
        <v>4.1</v>
      </c>
      <c r="K239" s="9" t="n">
        <v>0.1</v>
      </c>
      <c r="L239" s="9" t="n">
        <v>55</v>
      </c>
      <c r="M239" s="8" t="inlineStr">
        <is>
          <t>食品營養成分資料庫 J0416501</t>
        </is>
      </c>
    </row>
    <row r="240">
      <c r="A240" s="8" t="inlineStr">
        <is>
          <t>毛鱗魚</t>
        </is>
      </c>
      <c r="B240" s="8" t="inlineStr">
        <is>
          <t>喜相逢、多春魚、樺太柳葉魚（日文）</t>
        </is>
      </c>
      <c r="C240" s="8" t="inlineStr">
        <is>
          <t>生,冷凍袋裝,含卵</t>
        </is>
      </c>
      <c r="D240" s="8" t="inlineStr">
        <is>
          <t>魚貝類</t>
        </is>
      </c>
      <c r="E240" s="9" t="n">
        <v>145</v>
      </c>
      <c r="F240" s="9" t="n">
        <v>14.1</v>
      </c>
      <c r="G240" s="9" t="n">
        <v>9.4</v>
      </c>
      <c r="H240" s="9" t="n">
        <v>1.9</v>
      </c>
      <c r="I240" s="9" t="n">
        <v>0</v>
      </c>
      <c r="J240" s="9" t="n">
        <v>0.4</v>
      </c>
      <c r="K240" s="9" t="n">
        <v>0.1</v>
      </c>
      <c r="L240" s="9" t="n">
        <v>310</v>
      </c>
      <c r="M240" s="8" t="inlineStr">
        <is>
          <t>食品營養成分資料庫 J0416601</t>
        </is>
      </c>
    </row>
    <row r="241">
      <c r="A241" s="8" t="inlineStr">
        <is>
          <t>翻車魨魚皮</t>
        </is>
      </c>
      <c r="B241" s="8" t="inlineStr">
        <is>
          <t>曼波魚皮、翻車魚皮</t>
        </is>
      </c>
      <c r="C241" s="8" t="inlineStr">
        <is>
          <t>生,切片(進口)</t>
        </is>
      </c>
      <c r="D241" s="8" t="inlineStr">
        <is>
          <t>魚貝類</t>
        </is>
      </c>
      <c r="E241" s="9" t="n">
        <v>28</v>
      </c>
      <c r="F241" s="9" t="n">
        <v>6.5</v>
      </c>
      <c r="G241" s="9" t="n">
        <v>0</v>
      </c>
      <c r="H241" s="9" t="n">
        <v>0</v>
      </c>
      <c r="I241" s="9" t="n">
        <v>0</v>
      </c>
      <c r="J241" s="9" t="n">
        <v>0</v>
      </c>
      <c r="K241" s="9" t="n">
        <v>0</v>
      </c>
      <c r="L241" s="9" t="n">
        <v>205</v>
      </c>
      <c r="M241" s="8" t="inlineStr">
        <is>
          <t>食品營養成分資料庫 J0600501</t>
        </is>
      </c>
    </row>
    <row r="242">
      <c r="A242" s="8" t="inlineStr">
        <is>
          <t>魚漿(旗魚)</t>
        </is>
      </c>
      <c r="B242" s="8" t="n"/>
      <c r="C242" s="8" t="inlineStr">
        <is>
          <t>生</t>
        </is>
      </c>
      <c r="D242" s="8" t="inlineStr">
        <is>
          <t>魚貝類</t>
        </is>
      </c>
      <c r="E242" s="9" t="n">
        <v>110</v>
      </c>
      <c r="F242" s="9" t="n">
        <v>16.8</v>
      </c>
      <c r="G242" s="9" t="n">
        <v>1.3</v>
      </c>
      <c r="H242" s="9" t="n">
        <v>0.5</v>
      </c>
      <c r="I242" s="9" t="n">
        <v>0.00282</v>
      </c>
      <c r="J242" s="9" t="n">
        <v>7.8</v>
      </c>
      <c r="K242" s="9" t="n">
        <v>3.9</v>
      </c>
      <c r="L242" s="9" t="n">
        <v>755</v>
      </c>
      <c r="M242" s="8" t="inlineStr">
        <is>
          <t>食品營養成分資料庫 J0600701</t>
        </is>
      </c>
    </row>
    <row r="243">
      <c r="A243" s="8" t="inlineStr">
        <is>
          <t>白對蝦(小)(2022年取樣)</t>
        </is>
      </c>
      <c r="B243" s="8" t="inlineStr">
        <is>
          <t>南美白蝦、美洲白蝦、南美白對蝦、白蝦</t>
        </is>
      </c>
      <c r="C243" s="8" t="inlineStr">
        <is>
          <t>生,冷凍包裝</t>
        </is>
      </c>
      <c r="D243" s="8" t="inlineStr">
        <is>
          <t>魚貝類</t>
        </is>
      </c>
      <c r="E243" s="9" t="n">
        <v>93</v>
      </c>
      <c r="F243" s="9" t="n">
        <v>20.3</v>
      </c>
      <c r="G243" s="9" t="n">
        <v>0.7</v>
      </c>
      <c r="H243" s="9" t="n">
        <v>0.3</v>
      </c>
      <c r="I243" s="9" t="n">
        <v>0.00544</v>
      </c>
      <c r="J243" s="9" t="n">
        <v>1.3</v>
      </c>
      <c r="K243" s="9" t="n">
        <v>0.4</v>
      </c>
      <c r="L243" s="9" t="n">
        <v>145</v>
      </c>
      <c r="M243" s="8" t="inlineStr">
        <is>
          <t>食品營養成分資料庫 J2100903</t>
        </is>
      </c>
    </row>
    <row r="244">
      <c r="A244" s="8" t="inlineStr">
        <is>
          <t>草對蝦</t>
        </is>
      </c>
      <c r="B244" s="8" t="inlineStr">
        <is>
          <t>草蝦、烏斑節仔</t>
        </is>
      </c>
      <c r="C244" s="8" t="inlineStr">
        <is>
          <t>生</t>
        </is>
      </c>
      <c r="D244" s="8" t="inlineStr">
        <is>
          <t>魚貝類</t>
        </is>
      </c>
      <c r="E244" s="9" t="n">
        <v>100</v>
      </c>
      <c r="F244" s="9" t="n">
        <v>22</v>
      </c>
      <c r="G244" s="9" t="n">
        <v>0.7</v>
      </c>
      <c r="H244" s="9" t="n">
        <v>0.3</v>
      </c>
      <c r="I244" s="9" t="n">
        <v>0</v>
      </c>
      <c r="J244" s="9" t="n">
        <v>1</v>
      </c>
      <c r="K244" s="9" t="n">
        <v>0.3</v>
      </c>
      <c r="L244" s="9" t="n">
        <v>150</v>
      </c>
      <c r="M244" s="8" t="inlineStr">
        <is>
          <t>食品營養成分資料庫 J2101101</t>
        </is>
      </c>
    </row>
    <row r="245">
      <c r="A245" s="8" t="inlineStr">
        <is>
          <t>蝦米</t>
        </is>
      </c>
      <c r="B245" s="8" t="n"/>
      <c r="C245" s="8" t="inlineStr">
        <is>
          <t>乾貨</t>
        </is>
      </c>
      <c r="D245" s="8" t="inlineStr">
        <is>
          <t>魚貝類</t>
        </is>
      </c>
      <c r="E245" s="9" t="n">
        <v>264</v>
      </c>
      <c r="F245" s="9" t="n">
        <v>57.1</v>
      </c>
      <c r="G245" s="9" t="n">
        <v>2.2</v>
      </c>
      <c r="H245" s="9" t="n">
        <v>0.8</v>
      </c>
      <c r="I245" s="9" t="n">
        <v>0.00693</v>
      </c>
      <c r="J245" s="9" t="n">
        <v>0</v>
      </c>
      <c r="K245" s="9" t="n">
        <v>0</v>
      </c>
      <c r="L245" s="9" t="n">
        <v>3186</v>
      </c>
      <c r="M245" s="8" t="inlineStr">
        <is>
          <t>食品營養成分資料庫 J2300201</t>
        </is>
      </c>
    </row>
    <row r="246">
      <c r="A246" s="8" t="inlineStr">
        <is>
          <t>蟹腳肉</t>
        </is>
      </c>
      <c r="B246" s="8" t="n"/>
      <c r="C246" s="8" t="inlineStr">
        <is>
          <t>生</t>
        </is>
      </c>
      <c r="D246" s="8" t="inlineStr">
        <is>
          <t>魚貝類</t>
        </is>
      </c>
      <c r="E246" s="9" t="n">
        <v>53</v>
      </c>
      <c r="F246" s="9" t="n">
        <v>11.6</v>
      </c>
      <c r="G246" s="9" t="n">
        <v>0.3</v>
      </c>
      <c r="H246" s="9" t="n">
        <v>0.1</v>
      </c>
      <c r="I246" s="9" t="n">
        <v>0</v>
      </c>
      <c r="J246" s="9" t="n">
        <v>1.2</v>
      </c>
      <c r="K246" s="9" t="n">
        <v>0</v>
      </c>
      <c r="L246" s="9" t="n">
        <v>591</v>
      </c>
      <c r="M246" s="8" t="inlineStr">
        <is>
          <t>食品營養成分資料庫 J2600101</t>
        </is>
      </c>
    </row>
  </sheetData>
  <sheetProtection selectLockedCells="0" selectUnlockedCells="0" sheet="1" objects="0" insertRows="1" insertHyperlinks="1" autoFilter="0" scenarios="0" formatColumns="0" deleteColumns="1" insertColumns="1" pivotTables="1" deleteRows="1" formatCells="0" formatRows="0" sort="1"/>
  <autoFilter ref="A4:M24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46"/>
  <sheetViews>
    <sheetView showGridLines="0" workbookViewId="0">
      <pane ySplit="4" topLeftCell="A5" activePane="bottomLeft" state="frozen"/>
      <selection pane="bottomLeft" activeCell="A1" sqref="A1"/>
    </sheetView>
  </sheetViews>
  <sheetFormatPr baseColWidth="8" defaultRowHeight="15"/>
  <cols>
    <col width="26" customWidth="1" min="1" max="1"/>
    <col width="3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22" customWidth="1" min="12" max="12"/>
    <col width="48" customWidth="1" min="13" max="13"/>
  </cols>
  <sheetData>
    <row r="1">
      <c r="A1" s="6" t="inlineStr">
        <is>
          <t>配方</t>
        </is>
      </c>
    </row>
    <row r="2">
      <c r="A2" s="2" t="inlineStr">
        <is>
          <t>黃色格子由你填，其他格子會自己算。</t>
        </is>
      </c>
    </row>
    <row r="3">
      <c r="A3" s="10">
        <f>計算!B85</f>
        <v/>
      </c>
    </row>
    <row r="5">
      <c r="A5" s="11" t="inlineStr">
        <is>
          <t>品名（印在標示最上面，可不填）</t>
        </is>
      </c>
      <c r="B5" s="12" t="n"/>
    </row>
    <row r="6">
      <c r="A6" s="11" t="inlineStr">
        <is>
          <t>成品總重（公克）</t>
        </is>
      </c>
      <c r="B6" s="12" t="n"/>
      <c r="C6" s="13" t="inlineStr">
        <is>
          <t>必填。做好、放涼後實際秤的整批重量；烘烤、熬煮會失水，通常比原料合計輕。</t>
        </is>
      </c>
    </row>
    <row r="7">
      <c r="A7" s="11" t="inlineStr">
        <is>
          <t>每一份量（公克）</t>
        </is>
      </c>
      <c r="B7" s="12" t="n"/>
      <c r="C7" s="13" t="inlineStr">
        <is>
          <t>必填。</t>
        </is>
      </c>
    </row>
    <row r="8">
      <c r="A8" s="11" t="inlineStr">
        <is>
          <t>本包裝含幾份</t>
        </is>
      </c>
      <c r="B8" s="12" t="n"/>
      <c r="C8" s="13" t="inlineStr">
        <is>
          <t>必填。</t>
        </is>
      </c>
    </row>
    <row r="9">
      <c r="A9" s="11" t="inlineStr">
        <is>
          <t>單包淨重（公克，可不填）</t>
        </is>
      </c>
      <c r="B9" s="12" t="n"/>
      <c r="C9" s="13" t="inlineStr">
        <is>
          <t>整批分裝成好幾包時，填一包的淨重；不填就當整批是一包。</t>
        </is>
      </c>
    </row>
    <row r="10">
      <c r="A10" s="11" t="inlineStr">
        <is>
          <t>原料投入合計（公克）</t>
        </is>
      </c>
      <c r="B10" s="14">
        <f>計算!B9</f>
        <v/>
      </c>
      <c r="C10" s="13" t="inlineStr">
        <is>
          <t>自動加總，不用填。</t>
        </is>
      </c>
    </row>
    <row r="12">
      <c r="A12" s="3" t="inlineStr">
        <is>
          <t>原料（從「原料」工作表選）</t>
        </is>
      </c>
    </row>
    <row r="13">
      <c r="A13" s="15" t="inlineStr">
        <is>
          <t>第幾行</t>
        </is>
      </c>
      <c r="B13" s="15" t="inlineStr">
        <is>
          <t>原料名稱（點格子右邊的箭頭選）</t>
        </is>
      </c>
      <c r="C13" s="15" t="inlineStr">
        <is>
          <t>公克</t>
        </is>
      </c>
      <c r="D13" s="15" t="inlineStr">
        <is>
          <t>檢查</t>
        </is>
      </c>
    </row>
    <row r="14">
      <c r="A14" s="16" t="n">
        <v>1</v>
      </c>
      <c r="B14" s="12" t="n"/>
      <c r="C14" s="17" t="n"/>
      <c r="D14" s="18">
        <f>IF(計算!G14=2,IF(LEN(B14)=0,"請選原料",IF(計算!E14=0,"「原料」工作表裡沒有這個名稱，請從下拉選單選","請填大於 0 的公克數")),"")</f>
        <v/>
      </c>
    </row>
    <row r="15">
      <c r="A15" s="16" t="n">
        <v>2</v>
      </c>
      <c r="B15" s="12" t="n"/>
      <c r="C15" s="17" t="n"/>
      <c r="D15" s="18">
        <f>IF(計算!G15=2,IF(LEN(B15)=0,"請選原料",IF(計算!E15=0,"「原料」工作表裡沒有這個名稱，請從下拉選單選","請填大於 0 的公克數")),"")</f>
        <v/>
      </c>
    </row>
    <row r="16">
      <c r="A16" s="16" t="n">
        <v>3</v>
      </c>
      <c r="B16" s="12" t="n"/>
      <c r="C16" s="17" t="n"/>
      <c r="D16" s="18">
        <f>IF(計算!G16=2,IF(LEN(B16)=0,"請選原料",IF(計算!E16=0,"「原料」工作表裡沒有這個名稱，請從下拉選單選","請填大於 0 的公克數")),"")</f>
        <v/>
      </c>
    </row>
    <row r="17">
      <c r="A17" s="16" t="n">
        <v>4</v>
      </c>
      <c r="B17" s="12" t="n"/>
      <c r="C17" s="17" t="n"/>
      <c r="D17" s="18">
        <f>IF(計算!G17=2,IF(LEN(B17)=0,"請選原料",IF(計算!E17=0,"「原料」工作表裡沒有這個名稱，請從下拉選單選","請填大於 0 的公克數")),"")</f>
        <v/>
      </c>
    </row>
    <row r="18">
      <c r="A18" s="16" t="n">
        <v>5</v>
      </c>
      <c r="B18" s="12" t="n"/>
      <c r="C18" s="17" t="n"/>
      <c r="D18" s="18">
        <f>IF(計算!G18=2,IF(LEN(B18)=0,"請選原料",IF(計算!E18=0,"「原料」工作表裡沒有這個名稱，請從下拉選單選","請填大於 0 的公克數")),"")</f>
        <v/>
      </c>
    </row>
    <row r="19">
      <c r="A19" s="16" t="n">
        <v>6</v>
      </c>
      <c r="B19" s="12" t="n"/>
      <c r="C19" s="17" t="n"/>
      <c r="D19" s="18">
        <f>IF(計算!G19=2,IF(LEN(B19)=0,"請選原料",IF(計算!E19=0,"「原料」工作表裡沒有這個名稱，請從下拉選單選","請填大於 0 的公克數")),"")</f>
        <v/>
      </c>
    </row>
    <row r="20">
      <c r="A20" s="16" t="n">
        <v>7</v>
      </c>
      <c r="B20" s="12" t="n"/>
      <c r="C20" s="17" t="n"/>
      <c r="D20" s="18">
        <f>IF(計算!G20=2,IF(LEN(B20)=0,"請選原料",IF(計算!E20=0,"「原料」工作表裡沒有這個名稱，請從下拉選單選","請填大於 0 的公克數")),"")</f>
        <v/>
      </c>
    </row>
    <row r="21">
      <c r="A21" s="16" t="n">
        <v>8</v>
      </c>
      <c r="B21" s="12" t="n"/>
      <c r="C21" s="17" t="n"/>
      <c r="D21" s="18">
        <f>IF(計算!G21=2,IF(LEN(B21)=0,"請選原料",IF(計算!E21=0,"「原料」工作表裡沒有這個名稱，請從下拉選單選","請填大於 0 的公克數")),"")</f>
        <v/>
      </c>
    </row>
    <row r="22">
      <c r="A22" s="16" t="n">
        <v>9</v>
      </c>
      <c r="B22" s="12" t="n"/>
      <c r="C22" s="17" t="n"/>
      <c r="D22" s="18">
        <f>IF(計算!G22=2,IF(LEN(B22)=0,"請選原料",IF(計算!E22=0,"「原料」工作表裡沒有這個名稱，請從下拉選單選","請填大於 0 的公克數")),"")</f>
        <v/>
      </c>
    </row>
    <row r="23">
      <c r="A23" s="16" t="n">
        <v>10</v>
      </c>
      <c r="B23" s="12" t="n"/>
      <c r="C23" s="17" t="n"/>
      <c r="D23" s="18">
        <f>IF(計算!G23=2,IF(LEN(B23)=0,"請選原料",IF(計算!E23=0,"「原料」工作表裡沒有這個名稱，請從下拉選單選","請填大於 0 的公克數")),"")</f>
        <v/>
      </c>
    </row>
    <row r="24">
      <c r="A24" s="16" t="n">
        <v>11</v>
      </c>
      <c r="B24" s="12" t="n"/>
      <c r="C24" s="17" t="n"/>
      <c r="D24" s="18">
        <f>IF(計算!G24=2,IF(LEN(B24)=0,"請選原料",IF(計算!E24=0,"「原料」工作表裡沒有這個名稱，請從下拉選單選","請填大於 0 的公克數")),"")</f>
        <v/>
      </c>
    </row>
    <row r="25">
      <c r="A25" s="16" t="n">
        <v>12</v>
      </c>
      <c r="B25" s="12" t="n"/>
      <c r="C25" s="17" t="n"/>
      <c r="D25" s="18">
        <f>IF(計算!G25=2,IF(LEN(B25)=0,"請選原料",IF(計算!E25=0,"「原料」工作表裡沒有這個名稱，請從下拉選單選","請填大於 0 的公克數")),"")</f>
        <v/>
      </c>
    </row>
    <row r="26">
      <c r="A26" s="16" t="n">
        <v>13</v>
      </c>
      <c r="B26" s="12" t="n"/>
      <c r="C26" s="17" t="n"/>
      <c r="D26" s="18">
        <f>IF(計算!G26=2,IF(LEN(B26)=0,"請選原料",IF(計算!E26=0,"「原料」工作表裡沒有這個名稱，請從下拉選單選","請填大於 0 的公克數")),"")</f>
        <v/>
      </c>
    </row>
    <row r="27">
      <c r="A27" s="16" t="n">
        <v>14</v>
      </c>
      <c r="B27" s="12" t="n"/>
      <c r="C27" s="17" t="n"/>
      <c r="D27" s="18">
        <f>IF(計算!G27=2,IF(LEN(B27)=0,"請選原料",IF(計算!E27=0,"「原料」工作表裡沒有這個名稱，請從下拉選單選","請填大於 0 的公克數")),"")</f>
        <v/>
      </c>
    </row>
    <row r="28">
      <c r="A28" s="16" t="n">
        <v>15</v>
      </c>
      <c r="B28" s="12" t="n"/>
      <c r="C28" s="17" t="n"/>
      <c r="D28" s="18">
        <f>IF(計算!G28=2,IF(LEN(B28)=0,"請選原料",IF(計算!E28=0,"「原料」工作表裡沒有這個名稱，請從下拉選單選","請填大於 0 的公克數")),"")</f>
        <v/>
      </c>
    </row>
    <row r="29">
      <c r="A29" s="16" t="n">
        <v>16</v>
      </c>
      <c r="B29" s="12" t="n"/>
      <c r="C29" s="17" t="n"/>
      <c r="D29" s="18">
        <f>IF(計算!G29=2,IF(LEN(B29)=0,"請選原料",IF(計算!E29=0,"「原料」工作表裡沒有這個名稱，請從下拉選單選","請填大於 0 的公克數")),"")</f>
        <v/>
      </c>
    </row>
    <row r="30">
      <c r="A30" s="16" t="n">
        <v>17</v>
      </c>
      <c r="B30" s="12" t="n"/>
      <c r="C30" s="17" t="n"/>
      <c r="D30" s="18">
        <f>IF(計算!G30=2,IF(LEN(B30)=0,"請選原料",IF(計算!E30=0,"「原料」工作表裡沒有這個名稱，請從下拉選單選","請填大於 0 的公克數")),"")</f>
        <v/>
      </c>
    </row>
    <row r="31">
      <c r="A31" s="16" t="n">
        <v>18</v>
      </c>
      <c r="B31" s="12" t="n"/>
      <c r="C31" s="17" t="n"/>
      <c r="D31" s="18">
        <f>IF(計算!G31=2,IF(LEN(B31)=0,"請選原料",IF(計算!E31=0,"「原料」工作表裡沒有這個名稱，請從下拉選單選","請填大於 0 的公克數")),"")</f>
        <v/>
      </c>
    </row>
    <row r="32">
      <c r="A32" s="16" t="n">
        <v>19</v>
      </c>
      <c r="B32" s="12" t="n"/>
      <c r="C32" s="17" t="n"/>
      <c r="D32" s="18">
        <f>IF(計算!G32=2,IF(LEN(B32)=0,"請選原料",IF(計算!E32=0,"「原料」工作表裡沒有這個名稱，請從下拉選單選","請填大於 0 的公克數")),"")</f>
        <v/>
      </c>
    </row>
    <row r="33">
      <c r="A33" s="16" t="n">
        <v>20</v>
      </c>
      <c r="B33" s="12" t="n"/>
      <c r="C33" s="17" t="n"/>
      <c r="D33" s="18">
        <f>IF(計算!G33=2,IF(LEN(B33)=0,"請選原料",IF(計算!E33=0,"「原料」工作表裡沒有這個名稱，請從下拉選單選","請填大於 0 的公克數")),"")</f>
        <v/>
      </c>
    </row>
    <row r="34">
      <c r="A34" s="16" t="n">
        <v>21</v>
      </c>
      <c r="B34" s="12" t="n"/>
      <c r="C34" s="17" t="n"/>
      <c r="D34" s="18">
        <f>IF(計算!G34=2,IF(LEN(B34)=0,"請選原料",IF(計算!E34=0,"「原料」工作表裡沒有這個名稱，請從下拉選單選","請填大於 0 的公克數")),"")</f>
        <v/>
      </c>
    </row>
    <row r="35">
      <c r="A35" s="16" t="n">
        <v>22</v>
      </c>
      <c r="B35" s="12" t="n"/>
      <c r="C35" s="17" t="n"/>
      <c r="D35" s="18">
        <f>IF(計算!G35=2,IF(LEN(B35)=0,"請選原料",IF(計算!E35=0,"「原料」工作表裡沒有這個名稱，請從下拉選單選","請填大於 0 的公克數")),"")</f>
        <v/>
      </c>
    </row>
    <row r="36">
      <c r="A36" s="16" t="n">
        <v>23</v>
      </c>
      <c r="B36" s="12" t="n"/>
      <c r="C36" s="17" t="n"/>
      <c r="D36" s="18">
        <f>IF(計算!G36=2,IF(LEN(B36)=0,"請選原料",IF(計算!E36=0,"「原料」工作表裡沒有這個名稱，請從下拉選單選","請填大於 0 的公克數")),"")</f>
        <v/>
      </c>
    </row>
    <row r="37">
      <c r="A37" s="16" t="n">
        <v>24</v>
      </c>
      <c r="B37" s="12" t="n"/>
      <c r="C37" s="17" t="n"/>
      <c r="D37" s="18">
        <f>IF(計算!G37=2,IF(LEN(B37)=0,"請選原料",IF(計算!E37=0,"「原料」工作表裡沒有這個名稱，請從下拉選單選","請填大於 0 的公克數")),"")</f>
        <v/>
      </c>
    </row>
    <row r="38">
      <c r="A38" s="16" t="n">
        <v>25</v>
      </c>
      <c r="B38" s="12" t="n"/>
      <c r="C38" s="17" t="n"/>
      <c r="D38" s="18">
        <f>IF(計算!G38=2,IF(LEN(B38)=0,"請選原料",IF(計算!E38=0,"「原料」工作表裡沒有這個名稱，請從下拉選單選","請填大於 0 的公克數")),"")</f>
        <v/>
      </c>
    </row>
    <row r="40">
      <c r="A40" s="3" t="inlineStr">
        <is>
          <t>自填原料（「原料」工作表裡找不到才用；填每 100 公克的數值，八項都要填）</t>
        </is>
      </c>
    </row>
    <row r="41" ht="30" customHeight="1">
      <c r="A41" s="7" t="inlineStr">
        <is>
          <t>第幾行</t>
        </is>
      </c>
      <c r="B41" s="7" t="inlineStr">
        <is>
          <t>原料名稱</t>
        </is>
      </c>
      <c r="C41" s="7" t="inlineStr">
        <is>
          <t>公克</t>
        </is>
      </c>
      <c r="D41" s="7" t="inlineStr">
        <is>
          <t>熱量（大卡）</t>
        </is>
      </c>
      <c r="E41" s="7" t="inlineStr">
        <is>
          <t>蛋白質（公克）</t>
        </is>
      </c>
      <c r="F41" s="7" t="inlineStr">
        <is>
          <t>脂肪（公克）</t>
        </is>
      </c>
      <c r="G41" s="7" t="inlineStr">
        <is>
          <t>飽和脂肪（公克）</t>
        </is>
      </c>
      <c r="H41" s="7" t="inlineStr">
        <is>
          <t>反式脂肪（公克）</t>
        </is>
      </c>
      <c r="I41" s="7" t="inlineStr">
        <is>
          <t>碳水化合物（公克）</t>
        </is>
      </c>
      <c r="J41" s="7" t="inlineStr">
        <is>
          <t>糖（公克）</t>
        </is>
      </c>
      <c r="K41" s="7" t="inlineStr">
        <is>
          <t>鈉（毫克）</t>
        </is>
      </c>
      <c r="L41" s="7" t="inlineStr">
        <is>
          <t>資料來源（可不填）</t>
        </is>
      </c>
      <c r="M41" s="7" t="inlineStr">
        <is>
          <t>檢查</t>
        </is>
      </c>
    </row>
    <row r="42">
      <c r="A42" s="16" t="n">
        <v>1</v>
      </c>
      <c r="B42" s="12" t="n"/>
      <c r="C42" s="12" t="n"/>
      <c r="D42" s="12" t="n"/>
      <c r="E42" s="12" t="n"/>
      <c r="F42" s="12" t="n"/>
      <c r="G42" s="12" t="n"/>
      <c r="H42" s="12" t="n"/>
      <c r="I42" s="12" t="n"/>
      <c r="J42" s="12" t="n"/>
      <c r="K42" s="12" t="n"/>
      <c r="L42" s="12" t="n"/>
      <c r="M42" s="18">
        <f>IF(計算!G42&lt;&gt;2,"",IF(NOT(計算!AC42),"請填原料名稱。",IF(NOT(計算!F42),"請填大於 0 的公克數。",IF(計算!Y42&lt;8,"八項都要填才會算；查不到的項目請改用網站計算器。",IF(計算!Z42,"有數值是負數或超過上限，請確認單位。",IF(計算!AA42,"糖不可以比碳水化合物多，請重新確認這兩個數字。","飽和脂肪加反式脂肪不可以比脂肪總量多，請重新確認這三個數字。"))))))</f>
        <v/>
      </c>
    </row>
    <row r="43">
      <c r="A43" s="16" t="n">
        <v>2</v>
      </c>
      <c r="B43" s="12" t="n"/>
      <c r="C43" s="12" t="n"/>
      <c r="D43" s="12" t="n"/>
      <c r="E43" s="12" t="n"/>
      <c r="F43" s="12" t="n"/>
      <c r="G43" s="12" t="n"/>
      <c r="H43" s="12" t="n"/>
      <c r="I43" s="12" t="n"/>
      <c r="J43" s="12" t="n"/>
      <c r="K43" s="12" t="n"/>
      <c r="L43" s="12" t="n"/>
      <c r="M43" s="18">
        <f>IF(計算!G43&lt;&gt;2,"",IF(NOT(計算!AC43),"請填原料名稱。",IF(NOT(計算!F43),"請填大於 0 的公克數。",IF(計算!Y43&lt;8,"八項都要填才會算；查不到的項目請改用網站計算器。",IF(計算!Z43,"有數值是負數或超過上限，請確認單位。",IF(計算!AA43,"糖不可以比碳水化合物多，請重新確認這兩個數字。","飽和脂肪加反式脂肪不可以比脂肪總量多，請重新確認這三個數字。"))))))</f>
        <v/>
      </c>
    </row>
    <row r="44">
      <c r="A44" s="16" t="n">
        <v>3</v>
      </c>
      <c r="B44" s="12" t="n"/>
      <c r="C44" s="12" t="n"/>
      <c r="D44" s="12" t="n"/>
      <c r="E44" s="12" t="n"/>
      <c r="F44" s="12" t="n"/>
      <c r="G44" s="12" t="n"/>
      <c r="H44" s="12" t="n"/>
      <c r="I44" s="12" t="n"/>
      <c r="J44" s="12" t="n"/>
      <c r="K44" s="12" t="n"/>
      <c r="L44" s="12" t="n"/>
      <c r="M44" s="18">
        <f>IF(計算!G44&lt;&gt;2,"",IF(NOT(計算!AC44),"請填原料名稱。",IF(NOT(計算!F44),"請填大於 0 的公克數。",IF(計算!Y44&lt;8,"八項都要填才會算；查不到的項目請改用網站計算器。",IF(計算!Z44,"有數值是負數或超過上限，請確認單位。",IF(計算!AA44,"糖不可以比碳水化合物多，請重新確認這兩個數字。","飽和脂肪加反式脂肪不可以比脂肪總量多，請重新確認這三個數字。"))))))</f>
        <v/>
      </c>
    </row>
    <row r="45">
      <c r="A45" s="16" t="n">
        <v>4</v>
      </c>
      <c r="B45" s="12" t="n"/>
      <c r="C45" s="12" t="n"/>
      <c r="D45" s="12" t="n"/>
      <c r="E45" s="12" t="n"/>
      <c r="F45" s="12" t="n"/>
      <c r="G45" s="12" t="n"/>
      <c r="H45" s="12" t="n"/>
      <c r="I45" s="12" t="n"/>
      <c r="J45" s="12" t="n"/>
      <c r="K45" s="12" t="n"/>
      <c r="L45" s="12" t="n"/>
      <c r="M45" s="18">
        <f>IF(計算!G45&lt;&gt;2,"",IF(NOT(計算!AC45),"請填原料名稱。",IF(NOT(計算!F45),"請填大於 0 的公克數。",IF(計算!Y45&lt;8,"八項都要填才會算；查不到的項目請改用網站計算器。",IF(計算!Z45,"有數值是負數或超過上限，請確認單位。",IF(計算!AA45,"糖不可以比碳水化合物多，請重新確認這兩個數字。","飽和脂肪加反式脂肪不可以比脂肪總量多，請重新確認這三個數字。"))))))</f>
        <v/>
      </c>
    </row>
    <row r="46">
      <c r="A46" s="16" t="n">
        <v>5</v>
      </c>
      <c r="B46" s="12" t="n"/>
      <c r="C46" s="12" t="n"/>
      <c r="D46" s="12" t="n"/>
      <c r="E46" s="12" t="n"/>
      <c r="F46" s="12" t="n"/>
      <c r="G46" s="12" t="n"/>
      <c r="H46" s="12" t="n"/>
      <c r="I46" s="12" t="n"/>
      <c r="J46" s="12" t="n"/>
      <c r="K46" s="12" t="n"/>
      <c r="L46" s="12" t="n"/>
      <c r="M46" s="18">
        <f>IF(計算!G46&lt;&gt;2,"",IF(NOT(計算!AC46),"請填原料名稱。",IF(NOT(計算!F46),"請填大於 0 的公克數。",IF(計算!Y46&lt;8,"八項都要填才會算；查不到的項目請改用網站計算器。",IF(計算!Z46,"有數值是負數或超過上限，請確認單位。",IF(計算!AA46,"糖不可以比碳水化合物多，請重新確認這兩個數字。","飽和脂肪加反式脂肪不可以比脂肪總量多，請重新確認這三個數字。"))))))</f>
        <v/>
      </c>
    </row>
  </sheetData>
  <sheetProtection selectLockedCells="0" selectUnlockedCells="0" sheet="1" objects="0" insertRows="1" insertHyperlinks="1" autoFilter="1" scenarios="0" formatColumns="0" deleteColumns="1" insertColumns="1" pivotTables="1" deleteRows="1" formatCells="0" formatRows="0" sort="1"/>
  <dataValidations count="3">
    <dataValidation sqref="B6 B7 B8 B9 C14 C15 C16 C17 C18 C19 C20 C21 C22 C23 C24 C25 C26 C27 C28 C29 C30 C31 C32 C33 C34 C35 C36 C37 C38 C42 C43 C44 C45 C46" showDropDown="0" showInputMessage="0" showErrorMessage="1" allowBlank="1" errorTitle="要填大於 0 的數字" error="這一格要填大於 0 的數字（公克）。" type="decimal" operator="greaterThan">
      <formula1>0</formula1>
    </dataValidation>
    <dataValidation sqref="B14 B15 B16 B17 B18 B19 B20 B21 B22 B23 B24 B25 B26 B27 B28 B29 B30 B31 B32 B33 B34 B35 B36 B37 B38" showDropDown="0" showInputMessage="1" showErrorMessage="1" allowBlank="1" errorTitle="不在「原料」工作表裡" error="請從下拉選單選原料；「原料」工作表裡沒有的，請填在下面的自填原料。" promptTitle="選原料" prompt="點格子右邊的箭頭，從清單選。" type="list">
      <formula1>原料!$A$5:$A$246</formula1>
    </dataValidation>
    <dataValidation sqref="D42 D43 D44 D45 D46 E42 E43 E44 E45 E46 F42 F43 F44 F45 F46 G42 G43 G44 G45 G46 H42 H43 H44 H45 H46 I42 I43 I44 I45 I46 J42 J43 J44 J45 J46 K42 K43 K44 K45 K46" showDropDown="0" showInputMessage="0" showErrorMessage="1" allowBlank="1" errorTitle="要填數字" error="每 100 公克的含量要填 0 或更大的數字。" type="decimal" operator="greaterThanOrEqual">
      <formul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G85"/>
  <sheetViews>
    <sheetView showGridLines="1"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hidden="1" width="13" customWidth="1" min="32" max="32"/>
    <col hidden="1" width="13" customWidth="1" min="33" max="33"/>
  </cols>
  <sheetData>
    <row r="1">
      <c r="A1" s="6" t="inlineStr">
        <is>
          <t>計算（只給你核對，不用填）</t>
        </is>
      </c>
    </row>
    <row r="2">
      <c r="A2" s="2" t="inlineStr">
        <is>
          <t>這張表的數字都是公式算的，已鎖住。標示格式一、二的數字都從這裡來。Excel 算小數會有極小的尾數，所以判斷前先取到小數點後 9 位。</t>
        </is>
      </c>
    </row>
    <row r="4">
      <c r="A4" s="3" t="inlineStr">
        <is>
          <t>基本數字</t>
        </is>
      </c>
      <c r="C4" s="19" t="inlineStr">
        <is>
          <t>有沒有填對</t>
        </is>
      </c>
      <c r="D4" s="19" t="inlineStr">
        <is>
          <t>有沒有填</t>
        </is>
      </c>
    </row>
    <row r="5">
      <c r="A5" s="20" t="inlineStr">
        <is>
          <t>成品總重（公克）</t>
        </is>
      </c>
      <c r="B5" s="20">
        <f>IF(ISNUMBER(配方!B6),配方!B6,0)</f>
        <v/>
      </c>
      <c r="C5" s="21">
        <f>IF(ISNUMBER(配方!B6),配方!B6&gt;0,FALSE)</f>
        <v/>
      </c>
    </row>
    <row r="6">
      <c r="A6" s="20" t="inlineStr">
        <is>
          <t>每一份量（公克）</t>
        </is>
      </c>
      <c r="B6" s="20">
        <f>IF(ISNUMBER(配方!B7),配方!B7,0)</f>
        <v/>
      </c>
      <c r="C6" s="21">
        <f>IF(ISNUMBER(配方!B7),配方!B7&gt;0,FALSE)</f>
        <v/>
      </c>
    </row>
    <row r="7">
      <c r="A7" s="20" t="inlineStr">
        <is>
          <t>本包裝含幾份</t>
        </is>
      </c>
      <c r="B7" s="20">
        <f>IF(ISNUMBER(配方!B8),配方!B8,0)</f>
        <v/>
      </c>
      <c r="C7" s="21">
        <f>IF(ISNUMBER(配方!B8),配方!B8&gt;0,FALSE)</f>
        <v/>
      </c>
    </row>
    <row r="8">
      <c r="A8" s="20" t="inlineStr">
        <is>
          <t>單包淨重（公克）</t>
        </is>
      </c>
      <c r="B8" s="20">
        <f>IF(ISNUMBER(配方!B9),配方!B9,0)</f>
        <v/>
      </c>
      <c r="C8" s="21">
        <f>IF(ISNUMBER(配方!B9),配方!B9&gt;0,FALSE)</f>
        <v/>
      </c>
      <c r="D8" s="21">
        <f>COUNTA(配方!B9)&gt;0</f>
        <v/>
      </c>
    </row>
    <row r="9">
      <c r="A9" s="20" t="inlineStr">
        <is>
          <t>原料投入合計（公克）</t>
        </is>
      </c>
      <c r="B9" s="20">
        <f>ROUND(SUM(H14:H38)+SUM(H42:H46),9)</f>
        <v/>
      </c>
    </row>
    <row r="10">
      <c r="A10" s="20" t="inlineStr">
        <is>
          <t>核對份數用的重量（公克）</t>
        </is>
      </c>
      <c r="B10" s="20">
        <f>IF(C8,B8,B5)</f>
        <v/>
      </c>
      <c r="C10" s="21">
        <f>OR(C8,C5)</f>
        <v/>
      </c>
    </row>
    <row r="12">
      <c r="A12" s="3" t="inlineStr">
        <is>
          <t>原料明細（列號和「配方」相同）</t>
        </is>
      </c>
    </row>
    <row r="13" ht="42" customHeight="1">
      <c r="A13" s="22" t="inlineStr">
        <is>
          <t>第幾行</t>
        </is>
      </c>
      <c r="B13" s="22" t="inlineStr">
        <is>
          <t>原料</t>
        </is>
      </c>
      <c r="C13" s="22" t="inlineStr">
        <is>
          <t>公克</t>
        </is>
      </c>
      <c r="D13" s="22" t="inlineStr">
        <is>
          <t>有填</t>
        </is>
      </c>
      <c r="E13" s="22" t="inlineStr">
        <is>
          <t>在「原料」第幾筆</t>
        </is>
      </c>
      <c r="F13" s="22" t="inlineStr">
        <is>
          <t>公克有效</t>
        </is>
      </c>
      <c r="G13" s="22" t="inlineStr">
        <is>
          <t>狀態（0 沒填、1 可算、2 要修正）</t>
        </is>
      </c>
      <c r="H13" s="22" t="inlineStr">
        <is>
          <t>投入公克</t>
        </is>
      </c>
      <c r="I13" s="22" t="inlineStr">
        <is>
          <t>每 100 公克 熱量</t>
        </is>
      </c>
      <c r="J13" s="22" t="inlineStr">
        <is>
          <t>每 100 公克 蛋白質</t>
        </is>
      </c>
      <c r="K13" s="22" t="inlineStr">
        <is>
          <t>每 100 公克 脂肪</t>
        </is>
      </c>
      <c r="L13" s="22" t="inlineStr">
        <is>
          <t>每 100 公克 飽和脂肪</t>
        </is>
      </c>
      <c r="M13" s="22" t="inlineStr">
        <is>
          <t>每 100 公克 反式脂肪</t>
        </is>
      </c>
      <c r="N13" s="22" t="inlineStr">
        <is>
          <t>每 100 公克 碳水化合物</t>
        </is>
      </c>
      <c r="O13" s="22" t="inlineStr">
        <is>
          <t>每 100 公克 糖</t>
        </is>
      </c>
      <c r="P13" s="22" t="inlineStr">
        <is>
          <t>每 100 公克 鈉</t>
        </is>
      </c>
      <c r="Q13" s="22" t="inlineStr">
        <is>
          <t>整批 熱量（取自「原料」，只比對）</t>
        </is>
      </c>
      <c r="R13" s="22" t="inlineStr">
        <is>
          <t>整批 蛋白質</t>
        </is>
      </c>
      <c r="S13" s="22" t="inlineStr">
        <is>
          <t>整批 脂肪</t>
        </is>
      </c>
      <c r="T13" s="22" t="inlineStr">
        <is>
          <t>整批 飽和脂肪</t>
        </is>
      </c>
      <c r="U13" s="22" t="inlineStr">
        <is>
          <t>整批 反式脂肪</t>
        </is>
      </c>
      <c r="V13" s="22" t="inlineStr">
        <is>
          <t>整批 碳水化合物</t>
        </is>
      </c>
      <c r="W13" s="22" t="inlineStr">
        <is>
          <t>整批 糖</t>
        </is>
      </c>
      <c r="X13" s="22" t="inlineStr">
        <is>
          <t>整批 鈉</t>
        </is>
      </c>
    </row>
    <row r="14">
      <c r="A14" s="21" t="n">
        <v>1</v>
      </c>
      <c r="B14" s="20">
        <f>配方!B14&amp;""</f>
        <v/>
      </c>
      <c r="C14" s="23">
        <f>IF(ISNUMBER(配方!C14),配方!C14,0)</f>
        <v/>
      </c>
      <c r="D14" s="21">
        <f>COUNTA(配方!B14:C14)&gt;0</f>
        <v/>
      </c>
      <c r="E14" s="21">
        <f>IF(LEN(B14)=0,0,IFERROR(MATCH(B14,原料!$A$5:$A$246,0),0))</f>
        <v/>
      </c>
      <c r="F14" s="21">
        <f>IF(ISNUMBER(配方!C14),配方!C14&gt;0,FALSE)</f>
        <v/>
      </c>
      <c r="G14" s="21">
        <f>IF(NOT(D14),0,IF(AND(E14&gt;0,F14),1,2))</f>
        <v/>
      </c>
      <c r="H14" s="23">
        <f>IF(AND(D14,F14),C14,0)</f>
        <v/>
      </c>
      <c r="I14" s="23">
        <f>IF(E14&gt;0,INDEX(原料!$E$5:$E$246,MAX(E14,1)),0)</f>
        <v/>
      </c>
      <c r="J14" s="23">
        <f>IF(E14&gt;0,INDEX(原料!$F$5:$F$246,MAX(E14,1)),0)</f>
        <v/>
      </c>
      <c r="K14" s="23">
        <f>IF(E14&gt;0,INDEX(原料!$G$5:$G$246,MAX(E14,1)),0)</f>
        <v/>
      </c>
      <c r="L14" s="23">
        <f>IF(E14&gt;0,INDEX(原料!$H$5:$H$246,MAX(E14,1)),0)</f>
        <v/>
      </c>
      <c r="M14" s="23">
        <f>IF(E14&gt;0,INDEX(原料!$I$5:$I$246,MAX(E14,1)),0)</f>
        <v/>
      </c>
      <c r="N14" s="23">
        <f>IF(E14&gt;0,INDEX(原料!$J$5:$J$246,MAX(E14,1)),0)</f>
        <v/>
      </c>
      <c r="O14" s="23">
        <f>IF(E14&gt;0,INDEX(原料!$K$5:$K$246,MAX(E14,1)),0)</f>
        <v/>
      </c>
      <c r="P14" s="23">
        <f>IF(E14&gt;0,INDEX(原料!$L$5:$L$246,MAX(E14,1)),0)</f>
        <v/>
      </c>
      <c r="Q14" s="23">
        <f>IF(G14=1,I14*C14/100,0)</f>
        <v/>
      </c>
      <c r="R14" s="23">
        <f>IF(G14=1,J14*C14/100,0)</f>
        <v/>
      </c>
      <c r="S14" s="23">
        <f>IF(G14=1,K14*C14/100,0)</f>
        <v/>
      </c>
      <c r="T14" s="23">
        <f>IF(G14=1,L14*C14/100,0)</f>
        <v/>
      </c>
      <c r="U14" s="23">
        <f>IF(G14=1,M14*C14/100,0)</f>
        <v/>
      </c>
      <c r="V14" s="23">
        <f>IF(G14=1,N14*C14/100,0)</f>
        <v/>
      </c>
      <c r="W14" s="23">
        <f>IF(G14=1,O14*C14/100,0)</f>
        <v/>
      </c>
      <c r="X14" s="23">
        <f>IF(G14=1,P14*C14/100,0)</f>
        <v/>
      </c>
    </row>
    <row r="15">
      <c r="A15" s="21" t="n">
        <v>2</v>
      </c>
      <c r="B15" s="20">
        <f>配方!B15&amp;""</f>
        <v/>
      </c>
      <c r="C15" s="23">
        <f>IF(ISNUMBER(配方!C15),配方!C15,0)</f>
        <v/>
      </c>
      <c r="D15" s="21">
        <f>COUNTA(配方!B15:C15)&gt;0</f>
        <v/>
      </c>
      <c r="E15" s="21">
        <f>IF(LEN(B15)=0,0,IFERROR(MATCH(B15,原料!$A$5:$A$246,0),0))</f>
        <v/>
      </c>
      <c r="F15" s="21">
        <f>IF(ISNUMBER(配方!C15),配方!C15&gt;0,FALSE)</f>
        <v/>
      </c>
      <c r="G15" s="21">
        <f>IF(NOT(D15),0,IF(AND(E15&gt;0,F15),1,2))</f>
        <v/>
      </c>
      <c r="H15" s="23">
        <f>IF(AND(D15,F15),C15,0)</f>
        <v/>
      </c>
      <c r="I15" s="23">
        <f>IF(E15&gt;0,INDEX(原料!$E$5:$E$246,MAX(E15,1)),0)</f>
        <v/>
      </c>
      <c r="J15" s="23">
        <f>IF(E15&gt;0,INDEX(原料!$F$5:$F$246,MAX(E15,1)),0)</f>
        <v/>
      </c>
      <c r="K15" s="23">
        <f>IF(E15&gt;0,INDEX(原料!$G$5:$G$246,MAX(E15,1)),0)</f>
        <v/>
      </c>
      <c r="L15" s="23">
        <f>IF(E15&gt;0,INDEX(原料!$H$5:$H$246,MAX(E15,1)),0)</f>
        <v/>
      </c>
      <c r="M15" s="23">
        <f>IF(E15&gt;0,INDEX(原料!$I$5:$I$246,MAX(E15,1)),0)</f>
        <v/>
      </c>
      <c r="N15" s="23">
        <f>IF(E15&gt;0,INDEX(原料!$J$5:$J$246,MAX(E15,1)),0)</f>
        <v/>
      </c>
      <c r="O15" s="23">
        <f>IF(E15&gt;0,INDEX(原料!$K$5:$K$246,MAX(E15,1)),0)</f>
        <v/>
      </c>
      <c r="P15" s="23">
        <f>IF(E15&gt;0,INDEX(原料!$L$5:$L$246,MAX(E15,1)),0)</f>
        <v/>
      </c>
      <c r="Q15" s="23">
        <f>IF(G15=1,I15*C15/100,0)</f>
        <v/>
      </c>
      <c r="R15" s="23">
        <f>IF(G15=1,J15*C15/100,0)</f>
        <v/>
      </c>
      <c r="S15" s="23">
        <f>IF(G15=1,K15*C15/100,0)</f>
        <v/>
      </c>
      <c r="T15" s="23">
        <f>IF(G15=1,L15*C15/100,0)</f>
        <v/>
      </c>
      <c r="U15" s="23">
        <f>IF(G15=1,M15*C15/100,0)</f>
        <v/>
      </c>
      <c r="V15" s="23">
        <f>IF(G15=1,N15*C15/100,0)</f>
        <v/>
      </c>
      <c r="W15" s="23">
        <f>IF(G15=1,O15*C15/100,0)</f>
        <v/>
      </c>
      <c r="X15" s="23">
        <f>IF(G15=1,P15*C15/100,0)</f>
        <v/>
      </c>
    </row>
    <row r="16">
      <c r="A16" s="21" t="n">
        <v>3</v>
      </c>
      <c r="B16" s="20">
        <f>配方!B16&amp;""</f>
        <v/>
      </c>
      <c r="C16" s="23">
        <f>IF(ISNUMBER(配方!C16),配方!C16,0)</f>
        <v/>
      </c>
      <c r="D16" s="21">
        <f>COUNTA(配方!B16:C16)&gt;0</f>
        <v/>
      </c>
      <c r="E16" s="21">
        <f>IF(LEN(B16)=0,0,IFERROR(MATCH(B16,原料!$A$5:$A$246,0),0))</f>
        <v/>
      </c>
      <c r="F16" s="21">
        <f>IF(ISNUMBER(配方!C16),配方!C16&gt;0,FALSE)</f>
        <v/>
      </c>
      <c r="G16" s="21">
        <f>IF(NOT(D16),0,IF(AND(E16&gt;0,F16),1,2))</f>
        <v/>
      </c>
      <c r="H16" s="23">
        <f>IF(AND(D16,F16),C16,0)</f>
        <v/>
      </c>
      <c r="I16" s="23">
        <f>IF(E16&gt;0,INDEX(原料!$E$5:$E$246,MAX(E16,1)),0)</f>
        <v/>
      </c>
      <c r="J16" s="23">
        <f>IF(E16&gt;0,INDEX(原料!$F$5:$F$246,MAX(E16,1)),0)</f>
        <v/>
      </c>
      <c r="K16" s="23">
        <f>IF(E16&gt;0,INDEX(原料!$G$5:$G$246,MAX(E16,1)),0)</f>
        <v/>
      </c>
      <c r="L16" s="23">
        <f>IF(E16&gt;0,INDEX(原料!$H$5:$H$246,MAX(E16,1)),0)</f>
        <v/>
      </c>
      <c r="M16" s="23">
        <f>IF(E16&gt;0,INDEX(原料!$I$5:$I$246,MAX(E16,1)),0)</f>
        <v/>
      </c>
      <c r="N16" s="23">
        <f>IF(E16&gt;0,INDEX(原料!$J$5:$J$246,MAX(E16,1)),0)</f>
        <v/>
      </c>
      <c r="O16" s="23">
        <f>IF(E16&gt;0,INDEX(原料!$K$5:$K$246,MAX(E16,1)),0)</f>
        <v/>
      </c>
      <c r="P16" s="23">
        <f>IF(E16&gt;0,INDEX(原料!$L$5:$L$246,MAX(E16,1)),0)</f>
        <v/>
      </c>
      <c r="Q16" s="23">
        <f>IF(G16=1,I16*C16/100,0)</f>
        <v/>
      </c>
      <c r="R16" s="23">
        <f>IF(G16=1,J16*C16/100,0)</f>
        <v/>
      </c>
      <c r="S16" s="23">
        <f>IF(G16=1,K16*C16/100,0)</f>
        <v/>
      </c>
      <c r="T16" s="23">
        <f>IF(G16=1,L16*C16/100,0)</f>
        <v/>
      </c>
      <c r="U16" s="23">
        <f>IF(G16=1,M16*C16/100,0)</f>
        <v/>
      </c>
      <c r="V16" s="23">
        <f>IF(G16=1,N16*C16/100,0)</f>
        <v/>
      </c>
      <c r="W16" s="23">
        <f>IF(G16=1,O16*C16/100,0)</f>
        <v/>
      </c>
      <c r="X16" s="23">
        <f>IF(G16=1,P16*C16/100,0)</f>
        <v/>
      </c>
    </row>
    <row r="17">
      <c r="A17" s="21" t="n">
        <v>4</v>
      </c>
      <c r="B17" s="20">
        <f>配方!B17&amp;""</f>
        <v/>
      </c>
      <c r="C17" s="23">
        <f>IF(ISNUMBER(配方!C17),配方!C17,0)</f>
        <v/>
      </c>
      <c r="D17" s="21">
        <f>COUNTA(配方!B17:C17)&gt;0</f>
        <v/>
      </c>
      <c r="E17" s="21">
        <f>IF(LEN(B17)=0,0,IFERROR(MATCH(B17,原料!$A$5:$A$246,0),0))</f>
        <v/>
      </c>
      <c r="F17" s="21">
        <f>IF(ISNUMBER(配方!C17),配方!C17&gt;0,FALSE)</f>
        <v/>
      </c>
      <c r="G17" s="21">
        <f>IF(NOT(D17),0,IF(AND(E17&gt;0,F17),1,2))</f>
        <v/>
      </c>
      <c r="H17" s="23">
        <f>IF(AND(D17,F17),C17,0)</f>
        <v/>
      </c>
      <c r="I17" s="23">
        <f>IF(E17&gt;0,INDEX(原料!$E$5:$E$246,MAX(E17,1)),0)</f>
        <v/>
      </c>
      <c r="J17" s="23">
        <f>IF(E17&gt;0,INDEX(原料!$F$5:$F$246,MAX(E17,1)),0)</f>
        <v/>
      </c>
      <c r="K17" s="23">
        <f>IF(E17&gt;0,INDEX(原料!$G$5:$G$246,MAX(E17,1)),0)</f>
        <v/>
      </c>
      <c r="L17" s="23">
        <f>IF(E17&gt;0,INDEX(原料!$H$5:$H$246,MAX(E17,1)),0)</f>
        <v/>
      </c>
      <c r="M17" s="23">
        <f>IF(E17&gt;0,INDEX(原料!$I$5:$I$246,MAX(E17,1)),0)</f>
        <v/>
      </c>
      <c r="N17" s="23">
        <f>IF(E17&gt;0,INDEX(原料!$J$5:$J$246,MAX(E17,1)),0)</f>
        <v/>
      </c>
      <c r="O17" s="23">
        <f>IF(E17&gt;0,INDEX(原料!$K$5:$K$246,MAX(E17,1)),0)</f>
        <v/>
      </c>
      <c r="P17" s="23">
        <f>IF(E17&gt;0,INDEX(原料!$L$5:$L$246,MAX(E17,1)),0)</f>
        <v/>
      </c>
      <c r="Q17" s="23">
        <f>IF(G17=1,I17*C17/100,0)</f>
        <v/>
      </c>
      <c r="R17" s="23">
        <f>IF(G17=1,J17*C17/100,0)</f>
        <v/>
      </c>
      <c r="S17" s="23">
        <f>IF(G17=1,K17*C17/100,0)</f>
        <v/>
      </c>
      <c r="T17" s="23">
        <f>IF(G17=1,L17*C17/100,0)</f>
        <v/>
      </c>
      <c r="U17" s="23">
        <f>IF(G17=1,M17*C17/100,0)</f>
        <v/>
      </c>
      <c r="V17" s="23">
        <f>IF(G17=1,N17*C17/100,0)</f>
        <v/>
      </c>
      <c r="W17" s="23">
        <f>IF(G17=1,O17*C17/100,0)</f>
        <v/>
      </c>
      <c r="X17" s="23">
        <f>IF(G17=1,P17*C17/100,0)</f>
        <v/>
      </c>
    </row>
    <row r="18">
      <c r="A18" s="21" t="n">
        <v>5</v>
      </c>
      <c r="B18" s="20">
        <f>配方!B18&amp;""</f>
        <v/>
      </c>
      <c r="C18" s="23">
        <f>IF(ISNUMBER(配方!C18),配方!C18,0)</f>
        <v/>
      </c>
      <c r="D18" s="21">
        <f>COUNTA(配方!B18:C18)&gt;0</f>
        <v/>
      </c>
      <c r="E18" s="21">
        <f>IF(LEN(B18)=0,0,IFERROR(MATCH(B18,原料!$A$5:$A$246,0),0))</f>
        <v/>
      </c>
      <c r="F18" s="21">
        <f>IF(ISNUMBER(配方!C18),配方!C18&gt;0,FALSE)</f>
        <v/>
      </c>
      <c r="G18" s="21">
        <f>IF(NOT(D18),0,IF(AND(E18&gt;0,F18),1,2))</f>
        <v/>
      </c>
      <c r="H18" s="23">
        <f>IF(AND(D18,F18),C18,0)</f>
        <v/>
      </c>
      <c r="I18" s="23">
        <f>IF(E18&gt;0,INDEX(原料!$E$5:$E$246,MAX(E18,1)),0)</f>
        <v/>
      </c>
      <c r="J18" s="23">
        <f>IF(E18&gt;0,INDEX(原料!$F$5:$F$246,MAX(E18,1)),0)</f>
        <v/>
      </c>
      <c r="K18" s="23">
        <f>IF(E18&gt;0,INDEX(原料!$G$5:$G$246,MAX(E18,1)),0)</f>
        <v/>
      </c>
      <c r="L18" s="23">
        <f>IF(E18&gt;0,INDEX(原料!$H$5:$H$246,MAX(E18,1)),0)</f>
        <v/>
      </c>
      <c r="M18" s="23">
        <f>IF(E18&gt;0,INDEX(原料!$I$5:$I$246,MAX(E18,1)),0)</f>
        <v/>
      </c>
      <c r="N18" s="23">
        <f>IF(E18&gt;0,INDEX(原料!$J$5:$J$246,MAX(E18,1)),0)</f>
        <v/>
      </c>
      <c r="O18" s="23">
        <f>IF(E18&gt;0,INDEX(原料!$K$5:$K$246,MAX(E18,1)),0)</f>
        <v/>
      </c>
      <c r="P18" s="23">
        <f>IF(E18&gt;0,INDEX(原料!$L$5:$L$246,MAX(E18,1)),0)</f>
        <v/>
      </c>
      <c r="Q18" s="23">
        <f>IF(G18=1,I18*C18/100,0)</f>
        <v/>
      </c>
      <c r="R18" s="23">
        <f>IF(G18=1,J18*C18/100,0)</f>
        <v/>
      </c>
      <c r="S18" s="23">
        <f>IF(G18=1,K18*C18/100,0)</f>
        <v/>
      </c>
      <c r="T18" s="23">
        <f>IF(G18=1,L18*C18/100,0)</f>
        <v/>
      </c>
      <c r="U18" s="23">
        <f>IF(G18=1,M18*C18/100,0)</f>
        <v/>
      </c>
      <c r="V18" s="23">
        <f>IF(G18=1,N18*C18/100,0)</f>
        <v/>
      </c>
      <c r="W18" s="23">
        <f>IF(G18=1,O18*C18/100,0)</f>
        <v/>
      </c>
      <c r="X18" s="23">
        <f>IF(G18=1,P18*C18/100,0)</f>
        <v/>
      </c>
    </row>
    <row r="19">
      <c r="A19" s="21" t="n">
        <v>6</v>
      </c>
      <c r="B19" s="20">
        <f>配方!B19&amp;""</f>
        <v/>
      </c>
      <c r="C19" s="23">
        <f>IF(ISNUMBER(配方!C19),配方!C19,0)</f>
        <v/>
      </c>
      <c r="D19" s="21">
        <f>COUNTA(配方!B19:C19)&gt;0</f>
        <v/>
      </c>
      <c r="E19" s="21">
        <f>IF(LEN(B19)=0,0,IFERROR(MATCH(B19,原料!$A$5:$A$246,0),0))</f>
        <v/>
      </c>
      <c r="F19" s="21">
        <f>IF(ISNUMBER(配方!C19),配方!C19&gt;0,FALSE)</f>
        <v/>
      </c>
      <c r="G19" s="21">
        <f>IF(NOT(D19),0,IF(AND(E19&gt;0,F19),1,2))</f>
        <v/>
      </c>
      <c r="H19" s="23">
        <f>IF(AND(D19,F19),C19,0)</f>
        <v/>
      </c>
      <c r="I19" s="23">
        <f>IF(E19&gt;0,INDEX(原料!$E$5:$E$246,MAX(E19,1)),0)</f>
        <v/>
      </c>
      <c r="J19" s="23">
        <f>IF(E19&gt;0,INDEX(原料!$F$5:$F$246,MAX(E19,1)),0)</f>
        <v/>
      </c>
      <c r="K19" s="23">
        <f>IF(E19&gt;0,INDEX(原料!$G$5:$G$246,MAX(E19,1)),0)</f>
        <v/>
      </c>
      <c r="L19" s="23">
        <f>IF(E19&gt;0,INDEX(原料!$H$5:$H$246,MAX(E19,1)),0)</f>
        <v/>
      </c>
      <c r="M19" s="23">
        <f>IF(E19&gt;0,INDEX(原料!$I$5:$I$246,MAX(E19,1)),0)</f>
        <v/>
      </c>
      <c r="N19" s="23">
        <f>IF(E19&gt;0,INDEX(原料!$J$5:$J$246,MAX(E19,1)),0)</f>
        <v/>
      </c>
      <c r="O19" s="23">
        <f>IF(E19&gt;0,INDEX(原料!$K$5:$K$246,MAX(E19,1)),0)</f>
        <v/>
      </c>
      <c r="P19" s="23">
        <f>IF(E19&gt;0,INDEX(原料!$L$5:$L$246,MAX(E19,1)),0)</f>
        <v/>
      </c>
      <c r="Q19" s="23">
        <f>IF(G19=1,I19*C19/100,0)</f>
        <v/>
      </c>
      <c r="R19" s="23">
        <f>IF(G19=1,J19*C19/100,0)</f>
        <v/>
      </c>
      <c r="S19" s="23">
        <f>IF(G19=1,K19*C19/100,0)</f>
        <v/>
      </c>
      <c r="T19" s="23">
        <f>IF(G19=1,L19*C19/100,0)</f>
        <v/>
      </c>
      <c r="U19" s="23">
        <f>IF(G19=1,M19*C19/100,0)</f>
        <v/>
      </c>
      <c r="V19" s="23">
        <f>IF(G19=1,N19*C19/100,0)</f>
        <v/>
      </c>
      <c r="W19" s="23">
        <f>IF(G19=1,O19*C19/100,0)</f>
        <v/>
      </c>
      <c r="X19" s="23">
        <f>IF(G19=1,P19*C19/100,0)</f>
        <v/>
      </c>
    </row>
    <row r="20">
      <c r="A20" s="21" t="n">
        <v>7</v>
      </c>
      <c r="B20" s="20">
        <f>配方!B20&amp;""</f>
        <v/>
      </c>
      <c r="C20" s="23">
        <f>IF(ISNUMBER(配方!C20),配方!C20,0)</f>
        <v/>
      </c>
      <c r="D20" s="21">
        <f>COUNTA(配方!B20:C20)&gt;0</f>
        <v/>
      </c>
      <c r="E20" s="21">
        <f>IF(LEN(B20)=0,0,IFERROR(MATCH(B20,原料!$A$5:$A$246,0),0))</f>
        <v/>
      </c>
      <c r="F20" s="21">
        <f>IF(ISNUMBER(配方!C20),配方!C20&gt;0,FALSE)</f>
        <v/>
      </c>
      <c r="G20" s="21">
        <f>IF(NOT(D20),0,IF(AND(E20&gt;0,F20),1,2))</f>
        <v/>
      </c>
      <c r="H20" s="23">
        <f>IF(AND(D20,F20),C20,0)</f>
        <v/>
      </c>
      <c r="I20" s="23">
        <f>IF(E20&gt;0,INDEX(原料!$E$5:$E$246,MAX(E20,1)),0)</f>
        <v/>
      </c>
      <c r="J20" s="23">
        <f>IF(E20&gt;0,INDEX(原料!$F$5:$F$246,MAX(E20,1)),0)</f>
        <v/>
      </c>
      <c r="K20" s="23">
        <f>IF(E20&gt;0,INDEX(原料!$G$5:$G$246,MAX(E20,1)),0)</f>
        <v/>
      </c>
      <c r="L20" s="23">
        <f>IF(E20&gt;0,INDEX(原料!$H$5:$H$246,MAX(E20,1)),0)</f>
        <v/>
      </c>
      <c r="M20" s="23">
        <f>IF(E20&gt;0,INDEX(原料!$I$5:$I$246,MAX(E20,1)),0)</f>
        <v/>
      </c>
      <c r="N20" s="23">
        <f>IF(E20&gt;0,INDEX(原料!$J$5:$J$246,MAX(E20,1)),0)</f>
        <v/>
      </c>
      <c r="O20" s="23">
        <f>IF(E20&gt;0,INDEX(原料!$K$5:$K$246,MAX(E20,1)),0)</f>
        <v/>
      </c>
      <c r="P20" s="23">
        <f>IF(E20&gt;0,INDEX(原料!$L$5:$L$246,MAX(E20,1)),0)</f>
        <v/>
      </c>
      <c r="Q20" s="23">
        <f>IF(G20=1,I20*C20/100,0)</f>
        <v/>
      </c>
      <c r="R20" s="23">
        <f>IF(G20=1,J20*C20/100,0)</f>
        <v/>
      </c>
      <c r="S20" s="23">
        <f>IF(G20=1,K20*C20/100,0)</f>
        <v/>
      </c>
      <c r="T20" s="23">
        <f>IF(G20=1,L20*C20/100,0)</f>
        <v/>
      </c>
      <c r="U20" s="23">
        <f>IF(G20=1,M20*C20/100,0)</f>
        <v/>
      </c>
      <c r="V20" s="23">
        <f>IF(G20=1,N20*C20/100,0)</f>
        <v/>
      </c>
      <c r="W20" s="23">
        <f>IF(G20=1,O20*C20/100,0)</f>
        <v/>
      </c>
      <c r="X20" s="23">
        <f>IF(G20=1,P20*C20/100,0)</f>
        <v/>
      </c>
    </row>
    <row r="21">
      <c r="A21" s="21" t="n">
        <v>8</v>
      </c>
      <c r="B21" s="20">
        <f>配方!B21&amp;""</f>
        <v/>
      </c>
      <c r="C21" s="23">
        <f>IF(ISNUMBER(配方!C21),配方!C21,0)</f>
        <v/>
      </c>
      <c r="D21" s="21">
        <f>COUNTA(配方!B21:C21)&gt;0</f>
        <v/>
      </c>
      <c r="E21" s="21">
        <f>IF(LEN(B21)=0,0,IFERROR(MATCH(B21,原料!$A$5:$A$246,0),0))</f>
        <v/>
      </c>
      <c r="F21" s="21">
        <f>IF(ISNUMBER(配方!C21),配方!C21&gt;0,FALSE)</f>
        <v/>
      </c>
      <c r="G21" s="21">
        <f>IF(NOT(D21),0,IF(AND(E21&gt;0,F21),1,2))</f>
        <v/>
      </c>
      <c r="H21" s="23">
        <f>IF(AND(D21,F21),C21,0)</f>
        <v/>
      </c>
      <c r="I21" s="23">
        <f>IF(E21&gt;0,INDEX(原料!$E$5:$E$246,MAX(E21,1)),0)</f>
        <v/>
      </c>
      <c r="J21" s="23">
        <f>IF(E21&gt;0,INDEX(原料!$F$5:$F$246,MAX(E21,1)),0)</f>
        <v/>
      </c>
      <c r="K21" s="23">
        <f>IF(E21&gt;0,INDEX(原料!$G$5:$G$246,MAX(E21,1)),0)</f>
        <v/>
      </c>
      <c r="L21" s="23">
        <f>IF(E21&gt;0,INDEX(原料!$H$5:$H$246,MAX(E21,1)),0)</f>
        <v/>
      </c>
      <c r="M21" s="23">
        <f>IF(E21&gt;0,INDEX(原料!$I$5:$I$246,MAX(E21,1)),0)</f>
        <v/>
      </c>
      <c r="N21" s="23">
        <f>IF(E21&gt;0,INDEX(原料!$J$5:$J$246,MAX(E21,1)),0)</f>
        <v/>
      </c>
      <c r="O21" s="23">
        <f>IF(E21&gt;0,INDEX(原料!$K$5:$K$246,MAX(E21,1)),0)</f>
        <v/>
      </c>
      <c r="P21" s="23">
        <f>IF(E21&gt;0,INDEX(原料!$L$5:$L$246,MAX(E21,1)),0)</f>
        <v/>
      </c>
      <c r="Q21" s="23">
        <f>IF(G21=1,I21*C21/100,0)</f>
        <v/>
      </c>
      <c r="R21" s="23">
        <f>IF(G21=1,J21*C21/100,0)</f>
        <v/>
      </c>
      <c r="S21" s="23">
        <f>IF(G21=1,K21*C21/100,0)</f>
        <v/>
      </c>
      <c r="T21" s="23">
        <f>IF(G21=1,L21*C21/100,0)</f>
        <v/>
      </c>
      <c r="U21" s="23">
        <f>IF(G21=1,M21*C21/100,0)</f>
        <v/>
      </c>
      <c r="V21" s="23">
        <f>IF(G21=1,N21*C21/100,0)</f>
        <v/>
      </c>
      <c r="W21" s="23">
        <f>IF(G21=1,O21*C21/100,0)</f>
        <v/>
      </c>
      <c r="X21" s="23">
        <f>IF(G21=1,P21*C21/100,0)</f>
        <v/>
      </c>
    </row>
    <row r="22">
      <c r="A22" s="21" t="n">
        <v>9</v>
      </c>
      <c r="B22" s="20">
        <f>配方!B22&amp;""</f>
        <v/>
      </c>
      <c r="C22" s="23">
        <f>IF(ISNUMBER(配方!C22),配方!C22,0)</f>
        <v/>
      </c>
      <c r="D22" s="21">
        <f>COUNTA(配方!B22:C22)&gt;0</f>
        <v/>
      </c>
      <c r="E22" s="21">
        <f>IF(LEN(B22)=0,0,IFERROR(MATCH(B22,原料!$A$5:$A$246,0),0))</f>
        <v/>
      </c>
      <c r="F22" s="21">
        <f>IF(ISNUMBER(配方!C22),配方!C22&gt;0,FALSE)</f>
        <v/>
      </c>
      <c r="G22" s="21">
        <f>IF(NOT(D22),0,IF(AND(E22&gt;0,F22),1,2))</f>
        <v/>
      </c>
      <c r="H22" s="23">
        <f>IF(AND(D22,F22),C22,0)</f>
        <v/>
      </c>
      <c r="I22" s="23">
        <f>IF(E22&gt;0,INDEX(原料!$E$5:$E$246,MAX(E22,1)),0)</f>
        <v/>
      </c>
      <c r="J22" s="23">
        <f>IF(E22&gt;0,INDEX(原料!$F$5:$F$246,MAX(E22,1)),0)</f>
        <v/>
      </c>
      <c r="K22" s="23">
        <f>IF(E22&gt;0,INDEX(原料!$G$5:$G$246,MAX(E22,1)),0)</f>
        <v/>
      </c>
      <c r="L22" s="23">
        <f>IF(E22&gt;0,INDEX(原料!$H$5:$H$246,MAX(E22,1)),0)</f>
        <v/>
      </c>
      <c r="M22" s="23">
        <f>IF(E22&gt;0,INDEX(原料!$I$5:$I$246,MAX(E22,1)),0)</f>
        <v/>
      </c>
      <c r="N22" s="23">
        <f>IF(E22&gt;0,INDEX(原料!$J$5:$J$246,MAX(E22,1)),0)</f>
        <v/>
      </c>
      <c r="O22" s="23">
        <f>IF(E22&gt;0,INDEX(原料!$K$5:$K$246,MAX(E22,1)),0)</f>
        <v/>
      </c>
      <c r="P22" s="23">
        <f>IF(E22&gt;0,INDEX(原料!$L$5:$L$246,MAX(E22,1)),0)</f>
        <v/>
      </c>
      <c r="Q22" s="23">
        <f>IF(G22=1,I22*C22/100,0)</f>
        <v/>
      </c>
      <c r="R22" s="23">
        <f>IF(G22=1,J22*C22/100,0)</f>
        <v/>
      </c>
      <c r="S22" s="23">
        <f>IF(G22=1,K22*C22/100,0)</f>
        <v/>
      </c>
      <c r="T22" s="23">
        <f>IF(G22=1,L22*C22/100,0)</f>
        <v/>
      </c>
      <c r="U22" s="23">
        <f>IF(G22=1,M22*C22/100,0)</f>
        <v/>
      </c>
      <c r="V22" s="23">
        <f>IF(G22=1,N22*C22/100,0)</f>
        <v/>
      </c>
      <c r="W22" s="23">
        <f>IF(G22=1,O22*C22/100,0)</f>
        <v/>
      </c>
      <c r="X22" s="23">
        <f>IF(G22=1,P22*C22/100,0)</f>
        <v/>
      </c>
    </row>
    <row r="23">
      <c r="A23" s="21" t="n">
        <v>10</v>
      </c>
      <c r="B23" s="20">
        <f>配方!B23&amp;""</f>
        <v/>
      </c>
      <c r="C23" s="23">
        <f>IF(ISNUMBER(配方!C23),配方!C23,0)</f>
        <v/>
      </c>
      <c r="D23" s="21">
        <f>COUNTA(配方!B23:C23)&gt;0</f>
        <v/>
      </c>
      <c r="E23" s="21">
        <f>IF(LEN(B23)=0,0,IFERROR(MATCH(B23,原料!$A$5:$A$246,0),0))</f>
        <v/>
      </c>
      <c r="F23" s="21">
        <f>IF(ISNUMBER(配方!C23),配方!C23&gt;0,FALSE)</f>
        <v/>
      </c>
      <c r="G23" s="21">
        <f>IF(NOT(D23),0,IF(AND(E23&gt;0,F23),1,2))</f>
        <v/>
      </c>
      <c r="H23" s="23">
        <f>IF(AND(D23,F23),C23,0)</f>
        <v/>
      </c>
      <c r="I23" s="23">
        <f>IF(E23&gt;0,INDEX(原料!$E$5:$E$246,MAX(E23,1)),0)</f>
        <v/>
      </c>
      <c r="J23" s="23">
        <f>IF(E23&gt;0,INDEX(原料!$F$5:$F$246,MAX(E23,1)),0)</f>
        <v/>
      </c>
      <c r="K23" s="23">
        <f>IF(E23&gt;0,INDEX(原料!$G$5:$G$246,MAX(E23,1)),0)</f>
        <v/>
      </c>
      <c r="L23" s="23">
        <f>IF(E23&gt;0,INDEX(原料!$H$5:$H$246,MAX(E23,1)),0)</f>
        <v/>
      </c>
      <c r="M23" s="23">
        <f>IF(E23&gt;0,INDEX(原料!$I$5:$I$246,MAX(E23,1)),0)</f>
        <v/>
      </c>
      <c r="N23" s="23">
        <f>IF(E23&gt;0,INDEX(原料!$J$5:$J$246,MAX(E23,1)),0)</f>
        <v/>
      </c>
      <c r="O23" s="23">
        <f>IF(E23&gt;0,INDEX(原料!$K$5:$K$246,MAX(E23,1)),0)</f>
        <v/>
      </c>
      <c r="P23" s="23">
        <f>IF(E23&gt;0,INDEX(原料!$L$5:$L$246,MAX(E23,1)),0)</f>
        <v/>
      </c>
      <c r="Q23" s="23">
        <f>IF(G23=1,I23*C23/100,0)</f>
        <v/>
      </c>
      <c r="R23" s="23">
        <f>IF(G23=1,J23*C23/100,0)</f>
        <v/>
      </c>
      <c r="S23" s="23">
        <f>IF(G23=1,K23*C23/100,0)</f>
        <v/>
      </c>
      <c r="T23" s="23">
        <f>IF(G23=1,L23*C23/100,0)</f>
        <v/>
      </c>
      <c r="U23" s="23">
        <f>IF(G23=1,M23*C23/100,0)</f>
        <v/>
      </c>
      <c r="V23" s="23">
        <f>IF(G23=1,N23*C23/100,0)</f>
        <v/>
      </c>
      <c r="W23" s="23">
        <f>IF(G23=1,O23*C23/100,0)</f>
        <v/>
      </c>
      <c r="X23" s="23">
        <f>IF(G23=1,P23*C23/100,0)</f>
        <v/>
      </c>
    </row>
    <row r="24">
      <c r="A24" s="21" t="n">
        <v>11</v>
      </c>
      <c r="B24" s="20">
        <f>配方!B24&amp;""</f>
        <v/>
      </c>
      <c r="C24" s="23">
        <f>IF(ISNUMBER(配方!C24),配方!C24,0)</f>
        <v/>
      </c>
      <c r="D24" s="21">
        <f>COUNTA(配方!B24:C24)&gt;0</f>
        <v/>
      </c>
      <c r="E24" s="21">
        <f>IF(LEN(B24)=0,0,IFERROR(MATCH(B24,原料!$A$5:$A$246,0),0))</f>
        <v/>
      </c>
      <c r="F24" s="21">
        <f>IF(ISNUMBER(配方!C24),配方!C24&gt;0,FALSE)</f>
        <v/>
      </c>
      <c r="G24" s="21">
        <f>IF(NOT(D24),0,IF(AND(E24&gt;0,F24),1,2))</f>
        <v/>
      </c>
      <c r="H24" s="23">
        <f>IF(AND(D24,F24),C24,0)</f>
        <v/>
      </c>
      <c r="I24" s="23">
        <f>IF(E24&gt;0,INDEX(原料!$E$5:$E$246,MAX(E24,1)),0)</f>
        <v/>
      </c>
      <c r="J24" s="23">
        <f>IF(E24&gt;0,INDEX(原料!$F$5:$F$246,MAX(E24,1)),0)</f>
        <v/>
      </c>
      <c r="K24" s="23">
        <f>IF(E24&gt;0,INDEX(原料!$G$5:$G$246,MAX(E24,1)),0)</f>
        <v/>
      </c>
      <c r="L24" s="23">
        <f>IF(E24&gt;0,INDEX(原料!$H$5:$H$246,MAX(E24,1)),0)</f>
        <v/>
      </c>
      <c r="M24" s="23">
        <f>IF(E24&gt;0,INDEX(原料!$I$5:$I$246,MAX(E24,1)),0)</f>
        <v/>
      </c>
      <c r="N24" s="23">
        <f>IF(E24&gt;0,INDEX(原料!$J$5:$J$246,MAX(E24,1)),0)</f>
        <v/>
      </c>
      <c r="O24" s="23">
        <f>IF(E24&gt;0,INDEX(原料!$K$5:$K$246,MAX(E24,1)),0)</f>
        <v/>
      </c>
      <c r="P24" s="23">
        <f>IF(E24&gt;0,INDEX(原料!$L$5:$L$246,MAX(E24,1)),0)</f>
        <v/>
      </c>
      <c r="Q24" s="23">
        <f>IF(G24=1,I24*C24/100,0)</f>
        <v/>
      </c>
      <c r="R24" s="23">
        <f>IF(G24=1,J24*C24/100,0)</f>
        <v/>
      </c>
      <c r="S24" s="23">
        <f>IF(G24=1,K24*C24/100,0)</f>
        <v/>
      </c>
      <c r="T24" s="23">
        <f>IF(G24=1,L24*C24/100,0)</f>
        <v/>
      </c>
      <c r="U24" s="23">
        <f>IF(G24=1,M24*C24/100,0)</f>
        <v/>
      </c>
      <c r="V24" s="23">
        <f>IF(G24=1,N24*C24/100,0)</f>
        <v/>
      </c>
      <c r="W24" s="23">
        <f>IF(G24=1,O24*C24/100,0)</f>
        <v/>
      </c>
      <c r="X24" s="23">
        <f>IF(G24=1,P24*C24/100,0)</f>
        <v/>
      </c>
    </row>
    <row r="25">
      <c r="A25" s="21" t="n">
        <v>12</v>
      </c>
      <c r="B25" s="20">
        <f>配方!B25&amp;""</f>
        <v/>
      </c>
      <c r="C25" s="23">
        <f>IF(ISNUMBER(配方!C25),配方!C25,0)</f>
        <v/>
      </c>
      <c r="D25" s="21">
        <f>COUNTA(配方!B25:C25)&gt;0</f>
        <v/>
      </c>
      <c r="E25" s="21">
        <f>IF(LEN(B25)=0,0,IFERROR(MATCH(B25,原料!$A$5:$A$246,0),0))</f>
        <v/>
      </c>
      <c r="F25" s="21">
        <f>IF(ISNUMBER(配方!C25),配方!C25&gt;0,FALSE)</f>
        <v/>
      </c>
      <c r="G25" s="21">
        <f>IF(NOT(D25),0,IF(AND(E25&gt;0,F25),1,2))</f>
        <v/>
      </c>
      <c r="H25" s="23">
        <f>IF(AND(D25,F25),C25,0)</f>
        <v/>
      </c>
      <c r="I25" s="23">
        <f>IF(E25&gt;0,INDEX(原料!$E$5:$E$246,MAX(E25,1)),0)</f>
        <v/>
      </c>
      <c r="J25" s="23">
        <f>IF(E25&gt;0,INDEX(原料!$F$5:$F$246,MAX(E25,1)),0)</f>
        <v/>
      </c>
      <c r="K25" s="23">
        <f>IF(E25&gt;0,INDEX(原料!$G$5:$G$246,MAX(E25,1)),0)</f>
        <v/>
      </c>
      <c r="L25" s="23">
        <f>IF(E25&gt;0,INDEX(原料!$H$5:$H$246,MAX(E25,1)),0)</f>
        <v/>
      </c>
      <c r="M25" s="23">
        <f>IF(E25&gt;0,INDEX(原料!$I$5:$I$246,MAX(E25,1)),0)</f>
        <v/>
      </c>
      <c r="N25" s="23">
        <f>IF(E25&gt;0,INDEX(原料!$J$5:$J$246,MAX(E25,1)),0)</f>
        <v/>
      </c>
      <c r="O25" s="23">
        <f>IF(E25&gt;0,INDEX(原料!$K$5:$K$246,MAX(E25,1)),0)</f>
        <v/>
      </c>
      <c r="P25" s="23">
        <f>IF(E25&gt;0,INDEX(原料!$L$5:$L$246,MAX(E25,1)),0)</f>
        <v/>
      </c>
      <c r="Q25" s="23">
        <f>IF(G25=1,I25*C25/100,0)</f>
        <v/>
      </c>
      <c r="R25" s="23">
        <f>IF(G25=1,J25*C25/100,0)</f>
        <v/>
      </c>
      <c r="S25" s="23">
        <f>IF(G25=1,K25*C25/100,0)</f>
        <v/>
      </c>
      <c r="T25" s="23">
        <f>IF(G25=1,L25*C25/100,0)</f>
        <v/>
      </c>
      <c r="U25" s="23">
        <f>IF(G25=1,M25*C25/100,0)</f>
        <v/>
      </c>
      <c r="V25" s="23">
        <f>IF(G25=1,N25*C25/100,0)</f>
        <v/>
      </c>
      <c r="W25" s="23">
        <f>IF(G25=1,O25*C25/100,0)</f>
        <v/>
      </c>
      <c r="X25" s="23">
        <f>IF(G25=1,P25*C25/100,0)</f>
        <v/>
      </c>
    </row>
    <row r="26">
      <c r="A26" s="21" t="n">
        <v>13</v>
      </c>
      <c r="B26" s="20">
        <f>配方!B26&amp;""</f>
        <v/>
      </c>
      <c r="C26" s="23">
        <f>IF(ISNUMBER(配方!C26),配方!C26,0)</f>
        <v/>
      </c>
      <c r="D26" s="21">
        <f>COUNTA(配方!B26:C26)&gt;0</f>
        <v/>
      </c>
      <c r="E26" s="21">
        <f>IF(LEN(B26)=0,0,IFERROR(MATCH(B26,原料!$A$5:$A$246,0),0))</f>
        <v/>
      </c>
      <c r="F26" s="21">
        <f>IF(ISNUMBER(配方!C26),配方!C26&gt;0,FALSE)</f>
        <v/>
      </c>
      <c r="G26" s="21">
        <f>IF(NOT(D26),0,IF(AND(E26&gt;0,F26),1,2))</f>
        <v/>
      </c>
      <c r="H26" s="23">
        <f>IF(AND(D26,F26),C26,0)</f>
        <v/>
      </c>
      <c r="I26" s="23">
        <f>IF(E26&gt;0,INDEX(原料!$E$5:$E$246,MAX(E26,1)),0)</f>
        <v/>
      </c>
      <c r="J26" s="23">
        <f>IF(E26&gt;0,INDEX(原料!$F$5:$F$246,MAX(E26,1)),0)</f>
        <v/>
      </c>
      <c r="K26" s="23">
        <f>IF(E26&gt;0,INDEX(原料!$G$5:$G$246,MAX(E26,1)),0)</f>
        <v/>
      </c>
      <c r="L26" s="23">
        <f>IF(E26&gt;0,INDEX(原料!$H$5:$H$246,MAX(E26,1)),0)</f>
        <v/>
      </c>
      <c r="M26" s="23">
        <f>IF(E26&gt;0,INDEX(原料!$I$5:$I$246,MAX(E26,1)),0)</f>
        <v/>
      </c>
      <c r="N26" s="23">
        <f>IF(E26&gt;0,INDEX(原料!$J$5:$J$246,MAX(E26,1)),0)</f>
        <v/>
      </c>
      <c r="O26" s="23">
        <f>IF(E26&gt;0,INDEX(原料!$K$5:$K$246,MAX(E26,1)),0)</f>
        <v/>
      </c>
      <c r="P26" s="23">
        <f>IF(E26&gt;0,INDEX(原料!$L$5:$L$246,MAX(E26,1)),0)</f>
        <v/>
      </c>
      <c r="Q26" s="23">
        <f>IF(G26=1,I26*C26/100,0)</f>
        <v/>
      </c>
      <c r="R26" s="23">
        <f>IF(G26=1,J26*C26/100,0)</f>
        <v/>
      </c>
      <c r="S26" s="23">
        <f>IF(G26=1,K26*C26/100,0)</f>
        <v/>
      </c>
      <c r="T26" s="23">
        <f>IF(G26=1,L26*C26/100,0)</f>
        <v/>
      </c>
      <c r="U26" s="23">
        <f>IF(G26=1,M26*C26/100,0)</f>
        <v/>
      </c>
      <c r="V26" s="23">
        <f>IF(G26=1,N26*C26/100,0)</f>
        <v/>
      </c>
      <c r="W26" s="23">
        <f>IF(G26=1,O26*C26/100,0)</f>
        <v/>
      </c>
      <c r="X26" s="23">
        <f>IF(G26=1,P26*C26/100,0)</f>
        <v/>
      </c>
    </row>
    <row r="27">
      <c r="A27" s="21" t="n">
        <v>14</v>
      </c>
      <c r="B27" s="20">
        <f>配方!B27&amp;""</f>
        <v/>
      </c>
      <c r="C27" s="23">
        <f>IF(ISNUMBER(配方!C27),配方!C27,0)</f>
        <v/>
      </c>
      <c r="D27" s="21">
        <f>COUNTA(配方!B27:C27)&gt;0</f>
        <v/>
      </c>
      <c r="E27" s="21">
        <f>IF(LEN(B27)=0,0,IFERROR(MATCH(B27,原料!$A$5:$A$246,0),0))</f>
        <v/>
      </c>
      <c r="F27" s="21">
        <f>IF(ISNUMBER(配方!C27),配方!C27&gt;0,FALSE)</f>
        <v/>
      </c>
      <c r="G27" s="21">
        <f>IF(NOT(D27),0,IF(AND(E27&gt;0,F27),1,2))</f>
        <v/>
      </c>
      <c r="H27" s="23">
        <f>IF(AND(D27,F27),C27,0)</f>
        <v/>
      </c>
      <c r="I27" s="23">
        <f>IF(E27&gt;0,INDEX(原料!$E$5:$E$246,MAX(E27,1)),0)</f>
        <v/>
      </c>
      <c r="J27" s="23">
        <f>IF(E27&gt;0,INDEX(原料!$F$5:$F$246,MAX(E27,1)),0)</f>
        <v/>
      </c>
      <c r="K27" s="23">
        <f>IF(E27&gt;0,INDEX(原料!$G$5:$G$246,MAX(E27,1)),0)</f>
        <v/>
      </c>
      <c r="L27" s="23">
        <f>IF(E27&gt;0,INDEX(原料!$H$5:$H$246,MAX(E27,1)),0)</f>
        <v/>
      </c>
      <c r="M27" s="23">
        <f>IF(E27&gt;0,INDEX(原料!$I$5:$I$246,MAX(E27,1)),0)</f>
        <v/>
      </c>
      <c r="N27" s="23">
        <f>IF(E27&gt;0,INDEX(原料!$J$5:$J$246,MAX(E27,1)),0)</f>
        <v/>
      </c>
      <c r="O27" s="23">
        <f>IF(E27&gt;0,INDEX(原料!$K$5:$K$246,MAX(E27,1)),0)</f>
        <v/>
      </c>
      <c r="P27" s="23">
        <f>IF(E27&gt;0,INDEX(原料!$L$5:$L$246,MAX(E27,1)),0)</f>
        <v/>
      </c>
      <c r="Q27" s="23">
        <f>IF(G27=1,I27*C27/100,0)</f>
        <v/>
      </c>
      <c r="R27" s="23">
        <f>IF(G27=1,J27*C27/100,0)</f>
        <v/>
      </c>
      <c r="S27" s="23">
        <f>IF(G27=1,K27*C27/100,0)</f>
        <v/>
      </c>
      <c r="T27" s="23">
        <f>IF(G27=1,L27*C27/100,0)</f>
        <v/>
      </c>
      <c r="U27" s="23">
        <f>IF(G27=1,M27*C27/100,0)</f>
        <v/>
      </c>
      <c r="V27" s="23">
        <f>IF(G27=1,N27*C27/100,0)</f>
        <v/>
      </c>
      <c r="W27" s="23">
        <f>IF(G27=1,O27*C27/100,0)</f>
        <v/>
      </c>
      <c r="X27" s="23">
        <f>IF(G27=1,P27*C27/100,0)</f>
        <v/>
      </c>
    </row>
    <row r="28">
      <c r="A28" s="21" t="n">
        <v>15</v>
      </c>
      <c r="B28" s="20">
        <f>配方!B28&amp;""</f>
        <v/>
      </c>
      <c r="C28" s="23">
        <f>IF(ISNUMBER(配方!C28),配方!C28,0)</f>
        <v/>
      </c>
      <c r="D28" s="21">
        <f>COUNTA(配方!B28:C28)&gt;0</f>
        <v/>
      </c>
      <c r="E28" s="21">
        <f>IF(LEN(B28)=0,0,IFERROR(MATCH(B28,原料!$A$5:$A$246,0),0))</f>
        <v/>
      </c>
      <c r="F28" s="21">
        <f>IF(ISNUMBER(配方!C28),配方!C28&gt;0,FALSE)</f>
        <v/>
      </c>
      <c r="G28" s="21">
        <f>IF(NOT(D28),0,IF(AND(E28&gt;0,F28),1,2))</f>
        <v/>
      </c>
      <c r="H28" s="23">
        <f>IF(AND(D28,F28),C28,0)</f>
        <v/>
      </c>
      <c r="I28" s="23">
        <f>IF(E28&gt;0,INDEX(原料!$E$5:$E$246,MAX(E28,1)),0)</f>
        <v/>
      </c>
      <c r="J28" s="23">
        <f>IF(E28&gt;0,INDEX(原料!$F$5:$F$246,MAX(E28,1)),0)</f>
        <v/>
      </c>
      <c r="K28" s="23">
        <f>IF(E28&gt;0,INDEX(原料!$G$5:$G$246,MAX(E28,1)),0)</f>
        <v/>
      </c>
      <c r="L28" s="23">
        <f>IF(E28&gt;0,INDEX(原料!$H$5:$H$246,MAX(E28,1)),0)</f>
        <v/>
      </c>
      <c r="M28" s="23">
        <f>IF(E28&gt;0,INDEX(原料!$I$5:$I$246,MAX(E28,1)),0)</f>
        <v/>
      </c>
      <c r="N28" s="23">
        <f>IF(E28&gt;0,INDEX(原料!$J$5:$J$246,MAX(E28,1)),0)</f>
        <v/>
      </c>
      <c r="O28" s="23">
        <f>IF(E28&gt;0,INDEX(原料!$K$5:$K$246,MAX(E28,1)),0)</f>
        <v/>
      </c>
      <c r="P28" s="23">
        <f>IF(E28&gt;0,INDEX(原料!$L$5:$L$246,MAX(E28,1)),0)</f>
        <v/>
      </c>
      <c r="Q28" s="23">
        <f>IF(G28=1,I28*C28/100,0)</f>
        <v/>
      </c>
      <c r="R28" s="23">
        <f>IF(G28=1,J28*C28/100,0)</f>
        <v/>
      </c>
      <c r="S28" s="23">
        <f>IF(G28=1,K28*C28/100,0)</f>
        <v/>
      </c>
      <c r="T28" s="23">
        <f>IF(G28=1,L28*C28/100,0)</f>
        <v/>
      </c>
      <c r="U28" s="23">
        <f>IF(G28=1,M28*C28/100,0)</f>
        <v/>
      </c>
      <c r="V28" s="23">
        <f>IF(G28=1,N28*C28/100,0)</f>
        <v/>
      </c>
      <c r="W28" s="23">
        <f>IF(G28=1,O28*C28/100,0)</f>
        <v/>
      </c>
      <c r="X28" s="23">
        <f>IF(G28=1,P28*C28/100,0)</f>
        <v/>
      </c>
    </row>
    <row r="29">
      <c r="A29" s="21" t="n">
        <v>16</v>
      </c>
      <c r="B29" s="20">
        <f>配方!B29&amp;""</f>
        <v/>
      </c>
      <c r="C29" s="23">
        <f>IF(ISNUMBER(配方!C29),配方!C29,0)</f>
        <v/>
      </c>
      <c r="D29" s="21">
        <f>COUNTA(配方!B29:C29)&gt;0</f>
        <v/>
      </c>
      <c r="E29" s="21">
        <f>IF(LEN(B29)=0,0,IFERROR(MATCH(B29,原料!$A$5:$A$246,0),0))</f>
        <v/>
      </c>
      <c r="F29" s="21">
        <f>IF(ISNUMBER(配方!C29),配方!C29&gt;0,FALSE)</f>
        <v/>
      </c>
      <c r="G29" s="21">
        <f>IF(NOT(D29),0,IF(AND(E29&gt;0,F29),1,2))</f>
        <v/>
      </c>
      <c r="H29" s="23">
        <f>IF(AND(D29,F29),C29,0)</f>
        <v/>
      </c>
      <c r="I29" s="23">
        <f>IF(E29&gt;0,INDEX(原料!$E$5:$E$246,MAX(E29,1)),0)</f>
        <v/>
      </c>
      <c r="J29" s="23">
        <f>IF(E29&gt;0,INDEX(原料!$F$5:$F$246,MAX(E29,1)),0)</f>
        <v/>
      </c>
      <c r="K29" s="23">
        <f>IF(E29&gt;0,INDEX(原料!$G$5:$G$246,MAX(E29,1)),0)</f>
        <v/>
      </c>
      <c r="L29" s="23">
        <f>IF(E29&gt;0,INDEX(原料!$H$5:$H$246,MAX(E29,1)),0)</f>
        <v/>
      </c>
      <c r="M29" s="23">
        <f>IF(E29&gt;0,INDEX(原料!$I$5:$I$246,MAX(E29,1)),0)</f>
        <v/>
      </c>
      <c r="N29" s="23">
        <f>IF(E29&gt;0,INDEX(原料!$J$5:$J$246,MAX(E29,1)),0)</f>
        <v/>
      </c>
      <c r="O29" s="23">
        <f>IF(E29&gt;0,INDEX(原料!$K$5:$K$246,MAX(E29,1)),0)</f>
        <v/>
      </c>
      <c r="P29" s="23">
        <f>IF(E29&gt;0,INDEX(原料!$L$5:$L$246,MAX(E29,1)),0)</f>
        <v/>
      </c>
      <c r="Q29" s="23">
        <f>IF(G29=1,I29*C29/100,0)</f>
        <v/>
      </c>
      <c r="R29" s="23">
        <f>IF(G29=1,J29*C29/100,0)</f>
        <v/>
      </c>
      <c r="S29" s="23">
        <f>IF(G29=1,K29*C29/100,0)</f>
        <v/>
      </c>
      <c r="T29" s="23">
        <f>IF(G29=1,L29*C29/100,0)</f>
        <v/>
      </c>
      <c r="U29" s="23">
        <f>IF(G29=1,M29*C29/100,0)</f>
        <v/>
      </c>
      <c r="V29" s="23">
        <f>IF(G29=1,N29*C29/100,0)</f>
        <v/>
      </c>
      <c r="W29" s="23">
        <f>IF(G29=1,O29*C29/100,0)</f>
        <v/>
      </c>
      <c r="X29" s="23">
        <f>IF(G29=1,P29*C29/100,0)</f>
        <v/>
      </c>
    </row>
    <row r="30">
      <c r="A30" s="21" t="n">
        <v>17</v>
      </c>
      <c r="B30" s="20">
        <f>配方!B30&amp;""</f>
        <v/>
      </c>
      <c r="C30" s="23">
        <f>IF(ISNUMBER(配方!C30),配方!C30,0)</f>
        <v/>
      </c>
      <c r="D30" s="21">
        <f>COUNTA(配方!B30:C30)&gt;0</f>
        <v/>
      </c>
      <c r="E30" s="21">
        <f>IF(LEN(B30)=0,0,IFERROR(MATCH(B30,原料!$A$5:$A$246,0),0))</f>
        <v/>
      </c>
      <c r="F30" s="21">
        <f>IF(ISNUMBER(配方!C30),配方!C30&gt;0,FALSE)</f>
        <v/>
      </c>
      <c r="G30" s="21">
        <f>IF(NOT(D30),0,IF(AND(E30&gt;0,F30),1,2))</f>
        <v/>
      </c>
      <c r="H30" s="23">
        <f>IF(AND(D30,F30),C30,0)</f>
        <v/>
      </c>
      <c r="I30" s="23">
        <f>IF(E30&gt;0,INDEX(原料!$E$5:$E$246,MAX(E30,1)),0)</f>
        <v/>
      </c>
      <c r="J30" s="23">
        <f>IF(E30&gt;0,INDEX(原料!$F$5:$F$246,MAX(E30,1)),0)</f>
        <v/>
      </c>
      <c r="K30" s="23">
        <f>IF(E30&gt;0,INDEX(原料!$G$5:$G$246,MAX(E30,1)),0)</f>
        <v/>
      </c>
      <c r="L30" s="23">
        <f>IF(E30&gt;0,INDEX(原料!$H$5:$H$246,MAX(E30,1)),0)</f>
        <v/>
      </c>
      <c r="M30" s="23">
        <f>IF(E30&gt;0,INDEX(原料!$I$5:$I$246,MAX(E30,1)),0)</f>
        <v/>
      </c>
      <c r="N30" s="23">
        <f>IF(E30&gt;0,INDEX(原料!$J$5:$J$246,MAX(E30,1)),0)</f>
        <v/>
      </c>
      <c r="O30" s="23">
        <f>IF(E30&gt;0,INDEX(原料!$K$5:$K$246,MAX(E30,1)),0)</f>
        <v/>
      </c>
      <c r="P30" s="23">
        <f>IF(E30&gt;0,INDEX(原料!$L$5:$L$246,MAX(E30,1)),0)</f>
        <v/>
      </c>
      <c r="Q30" s="23">
        <f>IF(G30=1,I30*C30/100,0)</f>
        <v/>
      </c>
      <c r="R30" s="23">
        <f>IF(G30=1,J30*C30/100,0)</f>
        <v/>
      </c>
      <c r="S30" s="23">
        <f>IF(G30=1,K30*C30/100,0)</f>
        <v/>
      </c>
      <c r="T30" s="23">
        <f>IF(G30=1,L30*C30/100,0)</f>
        <v/>
      </c>
      <c r="U30" s="23">
        <f>IF(G30=1,M30*C30/100,0)</f>
        <v/>
      </c>
      <c r="V30" s="23">
        <f>IF(G30=1,N30*C30/100,0)</f>
        <v/>
      </c>
      <c r="W30" s="23">
        <f>IF(G30=1,O30*C30/100,0)</f>
        <v/>
      </c>
      <c r="X30" s="23">
        <f>IF(G30=1,P30*C30/100,0)</f>
        <v/>
      </c>
    </row>
    <row r="31">
      <c r="A31" s="21" t="n">
        <v>18</v>
      </c>
      <c r="B31" s="20">
        <f>配方!B31&amp;""</f>
        <v/>
      </c>
      <c r="C31" s="23">
        <f>IF(ISNUMBER(配方!C31),配方!C31,0)</f>
        <v/>
      </c>
      <c r="D31" s="21">
        <f>COUNTA(配方!B31:C31)&gt;0</f>
        <v/>
      </c>
      <c r="E31" s="21">
        <f>IF(LEN(B31)=0,0,IFERROR(MATCH(B31,原料!$A$5:$A$246,0),0))</f>
        <v/>
      </c>
      <c r="F31" s="21">
        <f>IF(ISNUMBER(配方!C31),配方!C31&gt;0,FALSE)</f>
        <v/>
      </c>
      <c r="G31" s="21">
        <f>IF(NOT(D31),0,IF(AND(E31&gt;0,F31),1,2))</f>
        <v/>
      </c>
      <c r="H31" s="23">
        <f>IF(AND(D31,F31),C31,0)</f>
        <v/>
      </c>
      <c r="I31" s="23">
        <f>IF(E31&gt;0,INDEX(原料!$E$5:$E$246,MAX(E31,1)),0)</f>
        <v/>
      </c>
      <c r="J31" s="23">
        <f>IF(E31&gt;0,INDEX(原料!$F$5:$F$246,MAX(E31,1)),0)</f>
        <v/>
      </c>
      <c r="K31" s="23">
        <f>IF(E31&gt;0,INDEX(原料!$G$5:$G$246,MAX(E31,1)),0)</f>
        <v/>
      </c>
      <c r="L31" s="23">
        <f>IF(E31&gt;0,INDEX(原料!$H$5:$H$246,MAX(E31,1)),0)</f>
        <v/>
      </c>
      <c r="M31" s="23">
        <f>IF(E31&gt;0,INDEX(原料!$I$5:$I$246,MAX(E31,1)),0)</f>
        <v/>
      </c>
      <c r="N31" s="23">
        <f>IF(E31&gt;0,INDEX(原料!$J$5:$J$246,MAX(E31,1)),0)</f>
        <v/>
      </c>
      <c r="O31" s="23">
        <f>IF(E31&gt;0,INDEX(原料!$K$5:$K$246,MAX(E31,1)),0)</f>
        <v/>
      </c>
      <c r="P31" s="23">
        <f>IF(E31&gt;0,INDEX(原料!$L$5:$L$246,MAX(E31,1)),0)</f>
        <v/>
      </c>
      <c r="Q31" s="23">
        <f>IF(G31=1,I31*C31/100,0)</f>
        <v/>
      </c>
      <c r="R31" s="23">
        <f>IF(G31=1,J31*C31/100,0)</f>
        <v/>
      </c>
      <c r="S31" s="23">
        <f>IF(G31=1,K31*C31/100,0)</f>
        <v/>
      </c>
      <c r="T31" s="23">
        <f>IF(G31=1,L31*C31/100,0)</f>
        <v/>
      </c>
      <c r="U31" s="23">
        <f>IF(G31=1,M31*C31/100,0)</f>
        <v/>
      </c>
      <c r="V31" s="23">
        <f>IF(G31=1,N31*C31/100,0)</f>
        <v/>
      </c>
      <c r="W31" s="23">
        <f>IF(G31=1,O31*C31/100,0)</f>
        <v/>
      </c>
      <c r="X31" s="23">
        <f>IF(G31=1,P31*C31/100,0)</f>
        <v/>
      </c>
    </row>
    <row r="32">
      <c r="A32" s="21" t="n">
        <v>19</v>
      </c>
      <c r="B32" s="20">
        <f>配方!B32&amp;""</f>
        <v/>
      </c>
      <c r="C32" s="23">
        <f>IF(ISNUMBER(配方!C32),配方!C32,0)</f>
        <v/>
      </c>
      <c r="D32" s="21">
        <f>COUNTA(配方!B32:C32)&gt;0</f>
        <v/>
      </c>
      <c r="E32" s="21">
        <f>IF(LEN(B32)=0,0,IFERROR(MATCH(B32,原料!$A$5:$A$246,0),0))</f>
        <v/>
      </c>
      <c r="F32" s="21">
        <f>IF(ISNUMBER(配方!C32),配方!C32&gt;0,FALSE)</f>
        <v/>
      </c>
      <c r="G32" s="21">
        <f>IF(NOT(D32),0,IF(AND(E32&gt;0,F32),1,2))</f>
        <v/>
      </c>
      <c r="H32" s="23">
        <f>IF(AND(D32,F32),C32,0)</f>
        <v/>
      </c>
      <c r="I32" s="23">
        <f>IF(E32&gt;0,INDEX(原料!$E$5:$E$246,MAX(E32,1)),0)</f>
        <v/>
      </c>
      <c r="J32" s="23">
        <f>IF(E32&gt;0,INDEX(原料!$F$5:$F$246,MAX(E32,1)),0)</f>
        <v/>
      </c>
      <c r="K32" s="23">
        <f>IF(E32&gt;0,INDEX(原料!$G$5:$G$246,MAX(E32,1)),0)</f>
        <v/>
      </c>
      <c r="L32" s="23">
        <f>IF(E32&gt;0,INDEX(原料!$H$5:$H$246,MAX(E32,1)),0)</f>
        <v/>
      </c>
      <c r="M32" s="23">
        <f>IF(E32&gt;0,INDEX(原料!$I$5:$I$246,MAX(E32,1)),0)</f>
        <v/>
      </c>
      <c r="N32" s="23">
        <f>IF(E32&gt;0,INDEX(原料!$J$5:$J$246,MAX(E32,1)),0)</f>
        <v/>
      </c>
      <c r="O32" s="23">
        <f>IF(E32&gt;0,INDEX(原料!$K$5:$K$246,MAX(E32,1)),0)</f>
        <v/>
      </c>
      <c r="P32" s="23">
        <f>IF(E32&gt;0,INDEX(原料!$L$5:$L$246,MAX(E32,1)),0)</f>
        <v/>
      </c>
      <c r="Q32" s="23">
        <f>IF(G32=1,I32*C32/100,0)</f>
        <v/>
      </c>
      <c r="R32" s="23">
        <f>IF(G32=1,J32*C32/100,0)</f>
        <v/>
      </c>
      <c r="S32" s="23">
        <f>IF(G32=1,K32*C32/100,0)</f>
        <v/>
      </c>
      <c r="T32" s="23">
        <f>IF(G32=1,L32*C32/100,0)</f>
        <v/>
      </c>
      <c r="U32" s="23">
        <f>IF(G32=1,M32*C32/100,0)</f>
        <v/>
      </c>
      <c r="V32" s="23">
        <f>IF(G32=1,N32*C32/100,0)</f>
        <v/>
      </c>
      <c r="W32" s="23">
        <f>IF(G32=1,O32*C32/100,0)</f>
        <v/>
      </c>
      <c r="X32" s="23">
        <f>IF(G32=1,P32*C32/100,0)</f>
        <v/>
      </c>
    </row>
    <row r="33">
      <c r="A33" s="21" t="n">
        <v>20</v>
      </c>
      <c r="B33" s="20">
        <f>配方!B33&amp;""</f>
        <v/>
      </c>
      <c r="C33" s="23">
        <f>IF(ISNUMBER(配方!C33),配方!C33,0)</f>
        <v/>
      </c>
      <c r="D33" s="21">
        <f>COUNTA(配方!B33:C33)&gt;0</f>
        <v/>
      </c>
      <c r="E33" s="21">
        <f>IF(LEN(B33)=0,0,IFERROR(MATCH(B33,原料!$A$5:$A$246,0),0))</f>
        <v/>
      </c>
      <c r="F33" s="21">
        <f>IF(ISNUMBER(配方!C33),配方!C33&gt;0,FALSE)</f>
        <v/>
      </c>
      <c r="G33" s="21">
        <f>IF(NOT(D33),0,IF(AND(E33&gt;0,F33),1,2))</f>
        <v/>
      </c>
      <c r="H33" s="23">
        <f>IF(AND(D33,F33),C33,0)</f>
        <v/>
      </c>
      <c r="I33" s="23">
        <f>IF(E33&gt;0,INDEX(原料!$E$5:$E$246,MAX(E33,1)),0)</f>
        <v/>
      </c>
      <c r="J33" s="23">
        <f>IF(E33&gt;0,INDEX(原料!$F$5:$F$246,MAX(E33,1)),0)</f>
        <v/>
      </c>
      <c r="K33" s="23">
        <f>IF(E33&gt;0,INDEX(原料!$G$5:$G$246,MAX(E33,1)),0)</f>
        <v/>
      </c>
      <c r="L33" s="23">
        <f>IF(E33&gt;0,INDEX(原料!$H$5:$H$246,MAX(E33,1)),0)</f>
        <v/>
      </c>
      <c r="M33" s="23">
        <f>IF(E33&gt;0,INDEX(原料!$I$5:$I$246,MAX(E33,1)),0)</f>
        <v/>
      </c>
      <c r="N33" s="23">
        <f>IF(E33&gt;0,INDEX(原料!$J$5:$J$246,MAX(E33,1)),0)</f>
        <v/>
      </c>
      <c r="O33" s="23">
        <f>IF(E33&gt;0,INDEX(原料!$K$5:$K$246,MAX(E33,1)),0)</f>
        <v/>
      </c>
      <c r="P33" s="23">
        <f>IF(E33&gt;0,INDEX(原料!$L$5:$L$246,MAX(E33,1)),0)</f>
        <v/>
      </c>
      <c r="Q33" s="23">
        <f>IF(G33=1,I33*C33/100,0)</f>
        <v/>
      </c>
      <c r="R33" s="23">
        <f>IF(G33=1,J33*C33/100,0)</f>
        <v/>
      </c>
      <c r="S33" s="23">
        <f>IF(G33=1,K33*C33/100,0)</f>
        <v/>
      </c>
      <c r="T33" s="23">
        <f>IF(G33=1,L33*C33/100,0)</f>
        <v/>
      </c>
      <c r="U33" s="23">
        <f>IF(G33=1,M33*C33/100,0)</f>
        <v/>
      </c>
      <c r="V33" s="23">
        <f>IF(G33=1,N33*C33/100,0)</f>
        <v/>
      </c>
      <c r="W33" s="23">
        <f>IF(G33=1,O33*C33/100,0)</f>
        <v/>
      </c>
      <c r="X33" s="23">
        <f>IF(G33=1,P33*C33/100,0)</f>
        <v/>
      </c>
    </row>
    <row r="34">
      <c r="A34" s="21" t="n">
        <v>21</v>
      </c>
      <c r="B34" s="20">
        <f>配方!B34&amp;""</f>
        <v/>
      </c>
      <c r="C34" s="23">
        <f>IF(ISNUMBER(配方!C34),配方!C34,0)</f>
        <v/>
      </c>
      <c r="D34" s="21">
        <f>COUNTA(配方!B34:C34)&gt;0</f>
        <v/>
      </c>
      <c r="E34" s="21">
        <f>IF(LEN(B34)=0,0,IFERROR(MATCH(B34,原料!$A$5:$A$246,0),0))</f>
        <v/>
      </c>
      <c r="F34" s="21">
        <f>IF(ISNUMBER(配方!C34),配方!C34&gt;0,FALSE)</f>
        <v/>
      </c>
      <c r="G34" s="21">
        <f>IF(NOT(D34),0,IF(AND(E34&gt;0,F34),1,2))</f>
        <v/>
      </c>
      <c r="H34" s="23">
        <f>IF(AND(D34,F34),C34,0)</f>
        <v/>
      </c>
      <c r="I34" s="23">
        <f>IF(E34&gt;0,INDEX(原料!$E$5:$E$246,MAX(E34,1)),0)</f>
        <v/>
      </c>
      <c r="J34" s="23">
        <f>IF(E34&gt;0,INDEX(原料!$F$5:$F$246,MAX(E34,1)),0)</f>
        <v/>
      </c>
      <c r="K34" s="23">
        <f>IF(E34&gt;0,INDEX(原料!$G$5:$G$246,MAX(E34,1)),0)</f>
        <v/>
      </c>
      <c r="L34" s="23">
        <f>IF(E34&gt;0,INDEX(原料!$H$5:$H$246,MAX(E34,1)),0)</f>
        <v/>
      </c>
      <c r="M34" s="23">
        <f>IF(E34&gt;0,INDEX(原料!$I$5:$I$246,MAX(E34,1)),0)</f>
        <v/>
      </c>
      <c r="N34" s="23">
        <f>IF(E34&gt;0,INDEX(原料!$J$5:$J$246,MAX(E34,1)),0)</f>
        <v/>
      </c>
      <c r="O34" s="23">
        <f>IF(E34&gt;0,INDEX(原料!$K$5:$K$246,MAX(E34,1)),0)</f>
        <v/>
      </c>
      <c r="P34" s="23">
        <f>IF(E34&gt;0,INDEX(原料!$L$5:$L$246,MAX(E34,1)),0)</f>
        <v/>
      </c>
      <c r="Q34" s="23">
        <f>IF(G34=1,I34*C34/100,0)</f>
        <v/>
      </c>
      <c r="R34" s="23">
        <f>IF(G34=1,J34*C34/100,0)</f>
        <v/>
      </c>
      <c r="S34" s="23">
        <f>IF(G34=1,K34*C34/100,0)</f>
        <v/>
      </c>
      <c r="T34" s="23">
        <f>IF(G34=1,L34*C34/100,0)</f>
        <v/>
      </c>
      <c r="U34" s="23">
        <f>IF(G34=1,M34*C34/100,0)</f>
        <v/>
      </c>
      <c r="V34" s="23">
        <f>IF(G34=1,N34*C34/100,0)</f>
        <v/>
      </c>
      <c r="W34" s="23">
        <f>IF(G34=1,O34*C34/100,0)</f>
        <v/>
      </c>
      <c r="X34" s="23">
        <f>IF(G34=1,P34*C34/100,0)</f>
        <v/>
      </c>
    </row>
    <row r="35">
      <c r="A35" s="21" t="n">
        <v>22</v>
      </c>
      <c r="B35" s="20">
        <f>配方!B35&amp;""</f>
        <v/>
      </c>
      <c r="C35" s="23">
        <f>IF(ISNUMBER(配方!C35),配方!C35,0)</f>
        <v/>
      </c>
      <c r="D35" s="21">
        <f>COUNTA(配方!B35:C35)&gt;0</f>
        <v/>
      </c>
      <c r="E35" s="21">
        <f>IF(LEN(B35)=0,0,IFERROR(MATCH(B35,原料!$A$5:$A$246,0),0))</f>
        <v/>
      </c>
      <c r="F35" s="21">
        <f>IF(ISNUMBER(配方!C35),配方!C35&gt;0,FALSE)</f>
        <v/>
      </c>
      <c r="G35" s="21">
        <f>IF(NOT(D35),0,IF(AND(E35&gt;0,F35),1,2))</f>
        <v/>
      </c>
      <c r="H35" s="23">
        <f>IF(AND(D35,F35),C35,0)</f>
        <v/>
      </c>
      <c r="I35" s="23">
        <f>IF(E35&gt;0,INDEX(原料!$E$5:$E$246,MAX(E35,1)),0)</f>
        <v/>
      </c>
      <c r="J35" s="23">
        <f>IF(E35&gt;0,INDEX(原料!$F$5:$F$246,MAX(E35,1)),0)</f>
        <v/>
      </c>
      <c r="K35" s="23">
        <f>IF(E35&gt;0,INDEX(原料!$G$5:$G$246,MAX(E35,1)),0)</f>
        <v/>
      </c>
      <c r="L35" s="23">
        <f>IF(E35&gt;0,INDEX(原料!$H$5:$H$246,MAX(E35,1)),0)</f>
        <v/>
      </c>
      <c r="M35" s="23">
        <f>IF(E35&gt;0,INDEX(原料!$I$5:$I$246,MAX(E35,1)),0)</f>
        <v/>
      </c>
      <c r="N35" s="23">
        <f>IF(E35&gt;0,INDEX(原料!$J$5:$J$246,MAX(E35,1)),0)</f>
        <v/>
      </c>
      <c r="O35" s="23">
        <f>IF(E35&gt;0,INDEX(原料!$K$5:$K$246,MAX(E35,1)),0)</f>
        <v/>
      </c>
      <c r="P35" s="23">
        <f>IF(E35&gt;0,INDEX(原料!$L$5:$L$246,MAX(E35,1)),0)</f>
        <v/>
      </c>
      <c r="Q35" s="23">
        <f>IF(G35=1,I35*C35/100,0)</f>
        <v/>
      </c>
      <c r="R35" s="23">
        <f>IF(G35=1,J35*C35/100,0)</f>
        <v/>
      </c>
      <c r="S35" s="23">
        <f>IF(G35=1,K35*C35/100,0)</f>
        <v/>
      </c>
      <c r="T35" s="23">
        <f>IF(G35=1,L35*C35/100,0)</f>
        <v/>
      </c>
      <c r="U35" s="23">
        <f>IF(G35=1,M35*C35/100,0)</f>
        <v/>
      </c>
      <c r="V35" s="23">
        <f>IF(G35=1,N35*C35/100,0)</f>
        <v/>
      </c>
      <c r="W35" s="23">
        <f>IF(G35=1,O35*C35/100,0)</f>
        <v/>
      </c>
      <c r="X35" s="23">
        <f>IF(G35=1,P35*C35/100,0)</f>
        <v/>
      </c>
    </row>
    <row r="36">
      <c r="A36" s="21" t="n">
        <v>23</v>
      </c>
      <c r="B36" s="20">
        <f>配方!B36&amp;""</f>
        <v/>
      </c>
      <c r="C36" s="23">
        <f>IF(ISNUMBER(配方!C36),配方!C36,0)</f>
        <v/>
      </c>
      <c r="D36" s="21">
        <f>COUNTA(配方!B36:C36)&gt;0</f>
        <v/>
      </c>
      <c r="E36" s="21">
        <f>IF(LEN(B36)=0,0,IFERROR(MATCH(B36,原料!$A$5:$A$246,0),0))</f>
        <v/>
      </c>
      <c r="F36" s="21">
        <f>IF(ISNUMBER(配方!C36),配方!C36&gt;0,FALSE)</f>
        <v/>
      </c>
      <c r="G36" s="21">
        <f>IF(NOT(D36),0,IF(AND(E36&gt;0,F36),1,2))</f>
        <v/>
      </c>
      <c r="H36" s="23">
        <f>IF(AND(D36,F36),C36,0)</f>
        <v/>
      </c>
      <c r="I36" s="23">
        <f>IF(E36&gt;0,INDEX(原料!$E$5:$E$246,MAX(E36,1)),0)</f>
        <v/>
      </c>
      <c r="J36" s="23">
        <f>IF(E36&gt;0,INDEX(原料!$F$5:$F$246,MAX(E36,1)),0)</f>
        <v/>
      </c>
      <c r="K36" s="23">
        <f>IF(E36&gt;0,INDEX(原料!$G$5:$G$246,MAX(E36,1)),0)</f>
        <v/>
      </c>
      <c r="L36" s="23">
        <f>IF(E36&gt;0,INDEX(原料!$H$5:$H$246,MAX(E36,1)),0)</f>
        <v/>
      </c>
      <c r="M36" s="23">
        <f>IF(E36&gt;0,INDEX(原料!$I$5:$I$246,MAX(E36,1)),0)</f>
        <v/>
      </c>
      <c r="N36" s="23">
        <f>IF(E36&gt;0,INDEX(原料!$J$5:$J$246,MAX(E36,1)),0)</f>
        <v/>
      </c>
      <c r="O36" s="23">
        <f>IF(E36&gt;0,INDEX(原料!$K$5:$K$246,MAX(E36,1)),0)</f>
        <v/>
      </c>
      <c r="P36" s="23">
        <f>IF(E36&gt;0,INDEX(原料!$L$5:$L$246,MAX(E36,1)),0)</f>
        <v/>
      </c>
      <c r="Q36" s="23">
        <f>IF(G36=1,I36*C36/100,0)</f>
        <v/>
      </c>
      <c r="R36" s="23">
        <f>IF(G36=1,J36*C36/100,0)</f>
        <v/>
      </c>
      <c r="S36" s="23">
        <f>IF(G36=1,K36*C36/100,0)</f>
        <v/>
      </c>
      <c r="T36" s="23">
        <f>IF(G36=1,L36*C36/100,0)</f>
        <v/>
      </c>
      <c r="U36" s="23">
        <f>IF(G36=1,M36*C36/100,0)</f>
        <v/>
      </c>
      <c r="V36" s="23">
        <f>IF(G36=1,N36*C36/100,0)</f>
        <v/>
      </c>
      <c r="W36" s="23">
        <f>IF(G36=1,O36*C36/100,0)</f>
        <v/>
      </c>
      <c r="X36" s="23">
        <f>IF(G36=1,P36*C36/100,0)</f>
        <v/>
      </c>
    </row>
    <row r="37">
      <c r="A37" s="21" t="n">
        <v>24</v>
      </c>
      <c r="B37" s="20">
        <f>配方!B37&amp;""</f>
        <v/>
      </c>
      <c r="C37" s="23">
        <f>IF(ISNUMBER(配方!C37),配方!C37,0)</f>
        <v/>
      </c>
      <c r="D37" s="21">
        <f>COUNTA(配方!B37:C37)&gt;0</f>
        <v/>
      </c>
      <c r="E37" s="21">
        <f>IF(LEN(B37)=0,0,IFERROR(MATCH(B37,原料!$A$5:$A$246,0),0))</f>
        <v/>
      </c>
      <c r="F37" s="21">
        <f>IF(ISNUMBER(配方!C37),配方!C37&gt;0,FALSE)</f>
        <v/>
      </c>
      <c r="G37" s="21">
        <f>IF(NOT(D37),0,IF(AND(E37&gt;0,F37),1,2))</f>
        <v/>
      </c>
      <c r="H37" s="23">
        <f>IF(AND(D37,F37),C37,0)</f>
        <v/>
      </c>
      <c r="I37" s="23">
        <f>IF(E37&gt;0,INDEX(原料!$E$5:$E$246,MAX(E37,1)),0)</f>
        <v/>
      </c>
      <c r="J37" s="23">
        <f>IF(E37&gt;0,INDEX(原料!$F$5:$F$246,MAX(E37,1)),0)</f>
        <v/>
      </c>
      <c r="K37" s="23">
        <f>IF(E37&gt;0,INDEX(原料!$G$5:$G$246,MAX(E37,1)),0)</f>
        <v/>
      </c>
      <c r="L37" s="23">
        <f>IF(E37&gt;0,INDEX(原料!$H$5:$H$246,MAX(E37,1)),0)</f>
        <v/>
      </c>
      <c r="M37" s="23">
        <f>IF(E37&gt;0,INDEX(原料!$I$5:$I$246,MAX(E37,1)),0)</f>
        <v/>
      </c>
      <c r="N37" s="23">
        <f>IF(E37&gt;0,INDEX(原料!$J$5:$J$246,MAX(E37,1)),0)</f>
        <v/>
      </c>
      <c r="O37" s="23">
        <f>IF(E37&gt;0,INDEX(原料!$K$5:$K$246,MAX(E37,1)),0)</f>
        <v/>
      </c>
      <c r="P37" s="23">
        <f>IF(E37&gt;0,INDEX(原料!$L$5:$L$246,MAX(E37,1)),0)</f>
        <v/>
      </c>
      <c r="Q37" s="23">
        <f>IF(G37=1,I37*C37/100,0)</f>
        <v/>
      </c>
      <c r="R37" s="23">
        <f>IF(G37=1,J37*C37/100,0)</f>
        <v/>
      </c>
      <c r="S37" s="23">
        <f>IF(G37=1,K37*C37/100,0)</f>
        <v/>
      </c>
      <c r="T37" s="23">
        <f>IF(G37=1,L37*C37/100,0)</f>
        <v/>
      </c>
      <c r="U37" s="23">
        <f>IF(G37=1,M37*C37/100,0)</f>
        <v/>
      </c>
      <c r="V37" s="23">
        <f>IF(G37=1,N37*C37/100,0)</f>
        <v/>
      </c>
      <c r="W37" s="23">
        <f>IF(G37=1,O37*C37/100,0)</f>
        <v/>
      </c>
      <c r="X37" s="23">
        <f>IF(G37=1,P37*C37/100,0)</f>
        <v/>
      </c>
    </row>
    <row r="38">
      <c r="A38" s="21" t="n">
        <v>25</v>
      </c>
      <c r="B38" s="20">
        <f>配方!B38&amp;""</f>
        <v/>
      </c>
      <c r="C38" s="23">
        <f>IF(ISNUMBER(配方!C38),配方!C38,0)</f>
        <v/>
      </c>
      <c r="D38" s="21">
        <f>COUNTA(配方!B38:C38)&gt;0</f>
        <v/>
      </c>
      <c r="E38" s="21">
        <f>IF(LEN(B38)=0,0,IFERROR(MATCH(B38,原料!$A$5:$A$246,0),0))</f>
        <v/>
      </c>
      <c r="F38" s="21">
        <f>IF(ISNUMBER(配方!C38),配方!C38&gt;0,FALSE)</f>
        <v/>
      </c>
      <c r="G38" s="21">
        <f>IF(NOT(D38),0,IF(AND(E38&gt;0,F38),1,2))</f>
        <v/>
      </c>
      <c r="H38" s="23">
        <f>IF(AND(D38,F38),C38,0)</f>
        <v/>
      </c>
      <c r="I38" s="23">
        <f>IF(E38&gt;0,INDEX(原料!$E$5:$E$246,MAX(E38,1)),0)</f>
        <v/>
      </c>
      <c r="J38" s="23">
        <f>IF(E38&gt;0,INDEX(原料!$F$5:$F$246,MAX(E38,1)),0)</f>
        <v/>
      </c>
      <c r="K38" s="23">
        <f>IF(E38&gt;0,INDEX(原料!$G$5:$G$246,MAX(E38,1)),0)</f>
        <v/>
      </c>
      <c r="L38" s="23">
        <f>IF(E38&gt;0,INDEX(原料!$H$5:$H$246,MAX(E38,1)),0)</f>
        <v/>
      </c>
      <c r="M38" s="23">
        <f>IF(E38&gt;0,INDEX(原料!$I$5:$I$246,MAX(E38,1)),0)</f>
        <v/>
      </c>
      <c r="N38" s="23">
        <f>IF(E38&gt;0,INDEX(原料!$J$5:$J$246,MAX(E38,1)),0)</f>
        <v/>
      </c>
      <c r="O38" s="23">
        <f>IF(E38&gt;0,INDEX(原料!$K$5:$K$246,MAX(E38,1)),0)</f>
        <v/>
      </c>
      <c r="P38" s="23">
        <f>IF(E38&gt;0,INDEX(原料!$L$5:$L$246,MAX(E38,1)),0)</f>
        <v/>
      </c>
      <c r="Q38" s="23">
        <f>IF(G38=1,I38*C38/100,0)</f>
        <v/>
      </c>
      <c r="R38" s="23">
        <f>IF(G38=1,J38*C38/100,0)</f>
        <v/>
      </c>
      <c r="S38" s="23">
        <f>IF(G38=1,K38*C38/100,0)</f>
        <v/>
      </c>
      <c r="T38" s="23">
        <f>IF(G38=1,L38*C38/100,0)</f>
        <v/>
      </c>
      <c r="U38" s="23">
        <f>IF(G38=1,M38*C38/100,0)</f>
        <v/>
      </c>
      <c r="V38" s="23">
        <f>IF(G38=1,N38*C38/100,0)</f>
        <v/>
      </c>
      <c r="W38" s="23">
        <f>IF(G38=1,O38*C38/100,0)</f>
        <v/>
      </c>
      <c r="X38" s="23">
        <f>IF(G38=1,P38*C38/100,0)</f>
        <v/>
      </c>
    </row>
    <row r="40">
      <c r="A40" s="3" t="inlineStr">
        <is>
          <t>自填原料明細</t>
        </is>
      </c>
    </row>
    <row r="41" ht="42" customHeight="1">
      <c r="A41" s="22" t="inlineStr">
        <is>
          <t>第幾行</t>
        </is>
      </c>
      <c r="B41" s="22" t="inlineStr">
        <is>
          <t>原料</t>
        </is>
      </c>
      <c r="C41" s="22" t="inlineStr">
        <is>
          <t>公克</t>
        </is>
      </c>
      <c r="D41" s="22" t="inlineStr">
        <is>
          <t>有填</t>
        </is>
      </c>
      <c r="F41" s="22" t="inlineStr">
        <is>
          <t>公克有效</t>
        </is>
      </c>
      <c r="G41" s="22" t="inlineStr">
        <is>
          <t>狀態（0 沒填、1 可算、2 要修正）</t>
        </is>
      </c>
      <c r="H41" s="22" t="inlineStr">
        <is>
          <t>投入公克</t>
        </is>
      </c>
      <c r="I41" s="22" t="inlineStr">
        <is>
          <t>每 100 公克 熱量</t>
        </is>
      </c>
      <c r="J41" s="22" t="inlineStr">
        <is>
          <t>每 100 公克 蛋白質</t>
        </is>
      </c>
      <c r="K41" s="22" t="inlineStr">
        <is>
          <t>每 100 公克 脂肪</t>
        </is>
      </c>
      <c r="L41" s="22" t="inlineStr">
        <is>
          <t>每 100 公克 飽和脂肪</t>
        </is>
      </c>
      <c r="M41" s="22" t="inlineStr">
        <is>
          <t>每 100 公克 反式脂肪</t>
        </is>
      </c>
      <c r="N41" s="22" t="inlineStr">
        <is>
          <t>每 100 公克 碳水化合物</t>
        </is>
      </c>
      <c r="O41" s="22" t="inlineStr">
        <is>
          <t>每 100 公克 糖</t>
        </is>
      </c>
      <c r="P41" s="22" t="inlineStr">
        <is>
          <t>每 100 公克 鈉</t>
        </is>
      </c>
      <c r="Q41" s="22" t="inlineStr">
        <is>
          <t>整批 熱量（取自「原料」，只比對）</t>
        </is>
      </c>
      <c r="R41" s="22" t="inlineStr">
        <is>
          <t>整批 蛋白質</t>
        </is>
      </c>
      <c r="S41" s="22" t="inlineStr">
        <is>
          <t>整批 脂肪</t>
        </is>
      </c>
      <c r="T41" s="22" t="inlineStr">
        <is>
          <t>整批 飽和脂肪</t>
        </is>
      </c>
      <c r="U41" s="22" t="inlineStr">
        <is>
          <t>整批 反式脂肪</t>
        </is>
      </c>
      <c r="V41" s="22" t="inlineStr">
        <is>
          <t>整批 碳水化合物</t>
        </is>
      </c>
      <c r="W41" s="22" t="inlineStr">
        <is>
          <t>整批 糖</t>
        </is>
      </c>
      <c r="X41" s="22" t="inlineStr">
        <is>
          <t>整批 鈉</t>
        </is>
      </c>
      <c r="Y41" s="22" t="inlineStr">
        <is>
          <t>八項填了幾項</t>
        </is>
      </c>
      <c r="Z41" s="22" t="inlineStr">
        <is>
          <t>數值超出範圍</t>
        </is>
      </c>
      <c r="AA41" s="22" t="inlineStr">
        <is>
          <t>糖大於碳水</t>
        </is>
      </c>
      <c r="AB41" s="22" t="inlineStr">
        <is>
          <t>飽和加反式大於脂肪</t>
        </is>
      </c>
      <c r="AC41" s="22" t="inlineStr">
        <is>
          <t>名稱有填</t>
        </is>
      </c>
    </row>
    <row r="42">
      <c r="A42" s="21" t="n">
        <v>1</v>
      </c>
      <c r="B42" s="20">
        <f>配方!B42&amp;""</f>
        <v/>
      </c>
      <c r="C42" s="23">
        <f>IF(ISNUMBER(配方!C42),配方!C42,0)</f>
        <v/>
      </c>
      <c r="D42" s="21">
        <f>COUNTA(配方!B42:K42)&gt;0</f>
        <v/>
      </c>
      <c r="F42" s="21">
        <f>IF(ISNUMBER(配方!C42),配方!C42&gt;0,FALSE)</f>
        <v/>
      </c>
      <c r="G42" s="21">
        <f>IF(NOT(D42),0,IF(AND(AC42,F42,Y42=8,NOT(Z42),NOT(AA42),NOT(AB42)),1,2))</f>
        <v/>
      </c>
      <c r="H42" s="23">
        <f>IF(AND(D42,F42),C42,0)</f>
        <v/>
      </c>
      <c r="I42" s="23">
        <f>IF(ISNUMBER(配方!D42),配方!D42,0)</f>
        <v/>
      </c>
      <c r="J42" s="23">
        <f>IF(ISNUMBER(配方!E42),配方!E42,0)</f>
        <v/>
      </c>
      <c r="K42" s="23">
        <f>IF(ISNUMBER(配方!F42),配方!F42,0)</f>
        <v/>
      </c>
      <c r="L42" s="23">
        <f>IF(ISNUMBER(配方!G42),配方!G42,0)</f>
        <v/>
      </c>
      <c r="M42" s="23">
        <f>IF(ISNUMBER(配方!H42),配方!H42,0)</f>
        <v/>
      </c>
      <c r="N42" s="23">
        <f>IF(ISNUMBER(配方!I42),配方!I42,0)</f>
        <v/>
      </c>
      <c r="O42" s="23">
        <f>IF(ISNUMBER(配方!J42),配方!J42,0)</f>
        <v/>
      </c>
      <c r="P42" s="23">
        <f>IF(ISNUMBER(配方!K42),配方!K42,0)</f>
        <v/>
      </c>
      <c r="Q42" s="23">
        <f>IF(G42=1,I42*C42/100,0)</f>
        <v/>
      </c>
      <c r="R42" s="23">
        <f>IF(G42=1,J42*C42/100,0)</f>
        <v/>
      </c>
      <c r="S42" s="23">
        <f>IF(G42=1,K42*C42/100,0)</f>
        <v/>
      </c>
      <c r="T42" s="23">
        <f>IF(G42=1,L42*C42/100,0)</f>
        <v/>
      </c>
      <c r="U42" s="23">
        <f>IF(G42=1,M42*C42/100,0)</f>
        <v/>
      </c>
      <c r="V42" s="23">
        <f>IF(G42=1,N42*C42/100,0)</f>
        <v/>
      </c>
      <c r="W42" s="23">
        <f>IF(G42=1,O42*C42/100,0)</f>
        <v/>
      </c>
      <c r="X42" s="23">
        <f>IF(G42=1,P42*C42/100,0)</f>
        <v/>
      </c>
      <c r="Y42" s="21">
        <f>COUNT(配方!D42:K42)</f>
        <v/>
      </c>
      <c r="Z42" s="21">
        <f>OR(I42&lt;0,I42&gt;1000,J42&lt;0,J42&gt;100,K42&lt;0,K42&gt;100,L42&lt;0,L42&gt;100,M42&lt;0,M42&gt;100,N42&lt;0,N42&gt;100,O42&lt;0,O42&gt;100,P42&lt;0,P42&gt;50000)</f>
        <v/>
      </c>
      <c r="AA42" s="21">
        <f>O42&gt;N42</f>
        <v/>
      </c>
      <c r="AB42" s="21">
        <f>ROUND(L42+M42,9)&gt;K42</f>
        <v/>
      </c>
      <c r="AC42" s="21">
        <f>LEN(TRIM(B42))&gt;0</f>
        <v/>
      </c>
    </row>
    <row r="43">
      <c r="A43" s="21" t="n">
        <v>2</v>
      </c>
      <c r="B43" s="20">
        <f>配方!B43&amp;""</f>
        <v/>
      </c>
      <c r="C43" s="23">
        <f>IF(ISNUMBER(配方!C43),配方!C43,0)</f>
        <v/>
      </c>
      <c r="D43" s="21">
        <f>COUNTA(配方!B43:K43)&gt;0</f>
        <v/>
      </c>
      <c r="F43" s="21">
        <f>IF(ISNUMBER(配方!C43),配方!C43&gt;0,FALSE)</f>
        <v/>
      </c>
      <c r="G43" s="21">
        <f>IF(NOT(D43),0,IF(AND(AC43,F43,Y43=8,NOT(Z43),NOT(AA43),NOT(AB43)),1,2))</f>
        <v/>
      </c>
      <c r="H43" s="23">
        <f>IF(AND(D43,F43),C43,0)</f>
        <v/>
      </c>
      <c r="I43" s="23">
        <f>IF(ISNUMBER(配方!D43),配方!D43,0)</f>
        <v/>
      </c>
      <c r="J43" s="23">
        <f>IF(ISNUMBER(配方!E43),配方!E43,0)</f>
        <v/>
      </c>
      <c r="K43" s="23">
        <f>IF(ISNUMBER(配方!F43),配方!F43,0)</f>
        <v/>
      </c>
      <c r="L43" s="23">
        <f>IF(ISNUMBER(配方!G43),配方!G43,0)</f>
        <v/>
      </c>
      <c r="M43" s="23">
        <f>IF(ISNUMBER(配方!H43),配方!H43,0)</f>
        <v/>
      </c>
      <c r="N43" s="23">
        <f>IF(ISNUMBER(配方!I43),配方!I43,0)</f>
        <v/>
      </c>
      <c r="O43" s="23">
        <f>IF(ISNUMBER(配方!J43),配方!J43,0)</f>
        <v/>
      </c>
      <c r="P43" s="23">
        <f>IF(ISNUMBER(配方!K43),配方!K43,0)</f>
        <v/>
      </c>
      <c r="Q43" s="23">
        <f>IF(G43=1,I43*C43/100,0)</f>
        <v/>
      </c>
      <c r="R43" s="23">
        <f>IF(G43=1,J43*C43/100,0)</f>
        <v/>
      </c>
      <c r="S43" s="23">
        <f>IF(G43=1,K43*C43/100,0)</f>
        <v/>
      </c>
      <c r="T43" s="23">
        <f>IF(G43=1,L43*C43/100,0)</f>
        <v/>
      </c>
      <c r="U43" s="23">
        <f>IF(G43=1,M43*C43/100,0)</f>
        <v/>
      </c>
      <c r="V43" s="23">
        <f>IF(G43=1,N43*C43/100,0)</f>
        <v/>
      </c>
      <c r="W43" s="23">
        <f>IF(G43=1,O43*C43/100,0)</f>
        <v/>
      </c>
      <c r="X43" s="23">
        <f>IF(G43=1,P43*C43/100,0)</f>
        <v/>
      </c>
      <c r="Y43" s="21">
        <f>COUNT(配方!D43:K43)</f>
        <v/>
      </c>
      <c r="Z43" s="21">
        <f>OR(I43&lt;0,I43&gt;1000,J43&lt;0,J43&gt;100,K43&lt;0,K43&gt;100,L43&lt;0,L43&gt;100,M43&lt;0,M43&gt;100,N43&lt;0,N43&gt;100,O43&lt;0,O43&gt;100,P43&lt;0,P43&gt;50000)</f>
        <v/>
      </c>
      <c r="AA43" s="21">
        <f>O43&gt;N43</f>
        <v/>
      </c>
      <c r="AB43" s="21">
        <f>ROUND(L43+M43,9)&gt;K43</f>
        <v/>
      </c>
      <c r="AC43" s="21">
        <f>LEN(TRIM(B43))&gt;0</f>
        <v/>
      </c>
    </row>
    <row r="44">
      <c r="A44" s="21" t="n">
        <v>3</v>
      </c>
      <c r="B44" s="20">
        <f>配方!B44&amp;""</f>
        <v/>
      </c>
      <c r="C44" s="23">
        <f>IF(ISNUMBER(配方!C44),配方!C44,0)</f>
        <v/>
      </c>
      <c r="D44" s="21">
        <f>COUNTA(配方!B44:K44)&gt;0</f>
        <v/>
      </c>
      <c r="F44" s="21">
        <f>IF(ISNUMBER(配方!C44),配方!C44&gt;0,FALSE)</f>
        <v/>
      </c>
      <c r="G44" s="21">
        <f>IF(NOT(D44),0,IF(AND(AC44,F44,Y44=8,NOT(Z44),NOT(AA44),NOT(AB44)),1,2))</f>
        <v/>
      </c>
      <c r="H44" s="23">
        <f>IF(AND(D44,F44),C44,0)</f>
        <v/>
      </c>
      <c r="I44" s="23">
        <f>IF(ISNUMBER(配方!D44),配方!D44,0)</f>
        <v/>
      </c>
      <c r="J44" s="23">
        <f>IF(ISNUMBER(配方!E44),配方!E44,0)</f>
        <v/>
      </c>
      <c r="K44" s="23">
        <f>IF(ISNUMBER(配方!F44),配方!F44,0)</f>
        <v/>
      </c>
      <c r="L44" s="23">
        <f>IF(ISNUMBER(配方!G44),配方!G44,0)</f>
        <v/>
      </c>
      <c r="M44" s="23">
        <f>IF(ISNUMBER(配方!H44),配方!H44,0)</f>
        <v/>
      </c>
      <c r="N44" s="23">
        <f>IF(ISNUMBER(配方!I44),配方!I44,0)</f>
        <v/>
      </c>
      <c r="O44" s="23">
        <f>IF(ISNUMBER(配方!J44),配方!J44,0)</f>
        <v/>
      </c>
      <c r="P44" s="23">
        <f>IF(ISNUMBER(配方!K44),配方!K44,0)</f>
        <v/>
      </c>
      <c r="Q44" s="23">
        <f>IF(G44=1,I44*C44/100,0)</f>
        <v/>
      </c>
      <c r="R44" s="23">
        <f>IF(G44=1,J44*C44/100,0)</f>
        <v/>
      </c>
      <c r="S44" s="23">
        <f>IF(G44=1,K44*C44/100,0)</f>
        <v/>
      </c>
      <c r="T44" s="23">
        <f>IF(G44=1,L44*C44/100,0)</f>
        <v/>
      </c>
      <c r="U44" s="23">
        <f>IF(G44=1,M44*C44/100,0)</f>
        <v/>
      </c>
      <c r="V44" s="23">
        <f>IF(G44=1,N44*C44/100,0)</f>
        <v/>
      </c>
      <c r="W44" s="23">
        <f>IF(G44=1,O44*C44/100,0)</f>
        <v/>
      </c>
      <c r="X44" s="23">
        <f>IF(G44=1,P44*C44/100,0)</f>
        <v/>
      </c>
      <c r="Y44" s="21">
        <f>COUNT(配方!D44:K44)</f>
        <v/>
      </c>
      <c r="Z44" s="21">
        <f>OR(I44&lt;0,I44&gt;1000,J44&lt;0,J44&gt;100,K44&lt;0,K44&gt;100,L44&lt;0,L44&gt;100,M44&lt;0,M44&gt;100,N44&lt;0,N44&gt;100,O44&lt;0,O44&gt;100,P44&lt;0,P44&gt;50000)</f>
        <v/>
      </c>
      <c r="AA44" s="21">
        <f>O44&gt;N44</f>
        <v/>
      </c>
      <c r="AB44" s="21">
        <f>ROUND(L44+M44,9)&gt;K44</f>
        <v/>
      </c>
      <c r="AC44" s="21">
        <f>LEN(TRIM(B44))&gt;0</f>
        <v/>
      </c>
    </row>
    <row r="45">
      <c r="A45" s="21" t="n">
        <v>4</v>
      </c>
      <c r="B45" s="20">
        <f>配方!B45&amp;""</f>
        <v/>
      </c>
      <c r="C45" s="23">
        <f>IF(ISNUMBER(配方!C45),配方!C45,0)</f>
        <v/>
      </c>
      <c r="D45" s="21">
        <f>COUNTA(配方!B45:K45)&gt;0</f>
        <v/>
      </c>
      <c r="F45" s="21">
        <f>IF(ISNUMBER(配方!C45),配方!C45&gt;0,FALSE)</f>
        <v/>
      </c>
      <c r="G45" s="21">
        <f>IF(NOT(D45),0,IF(AND(AC45,F45,Y45=8,NOT(Z45),NOT(AA45),NOT(AB45)),1,2))</f>
        <v/>
      </c>
      <c r="H45" s="23">
        <f>IF(AND(D45,F45),C45,0)</f>
        <v/>
      </c>
      <c r="I45" s="23">
        <f>IF(ISNUMBER(配方!D45),配方!D45,0)</f>
        <v/>
      </c>
      <c r="J45" s="23">
        <f>IF(ISNUMBER(配方!E45),配方!E45,0)</f>
        <v/>
      </c>
      <c r="K45" s="23">
        <f>IF(ISNUMBER(配方!F45),配方!F45,0)</f>
        <v/>
      </c>
      <c r="L45" s="23">
        <f>IF(ISNUMBER(配方!G45),配方!G45,0)</f>
        <v/>
      </c>
      <c r="M45" s="23">
        <f>IF(ISNUMBER(配方!H45),配方!H45,0)</f>
        <v/>
      </c>
      <c r="N45" s="23">
        <f>IF(ISNUMBER(配方!I45),配方!I45,0)</f>
        <v/>
      </c>
      <c r="O45" s="23">
        <f>IF(ISNUMBER(配方!J45),配方!J45,0)</f>
        <v/>
      </c>
      <c r="P45" s="23">
        <f>IF(ISNUMBER(配方!K45),配方!K45,0)</f>
        <v/>
      </c>
      <c r="Q45" s="23">
        <f>IF(G45=1,I45*C45/100,0)</f>
        <v/>
      </c>
      <c r="R45" s="23">
        <f>IF(G45=1,J45*C45/100,0)</f>
        <v/>
      </c>
      <c r="S45" s="23">
        <f>IF(G45=1,K45*C45/100,0)</f>
        <v/>
      </c>
      <c r="T45" s="23">
        <f>IF(G45=1,L45*C45/100,0)</f>
        <v/>
      </c>
      <c r="U45" s="23">
        <f>IF(G45=1,M45*C45/100,0)</f>
        <v/>
      </c>
      <c r="V45" s="23">
        <f>IF(G45=1,N45*C45/100,0)</f>
        <v/>
      </c>
      <c r="W45" s="23">
        <f>IF(G45=1,O45*C45/100,0)</f>
        <v/>
      </c>
      <c r="X45" s="23">
        <f>IF(G45=1,P45*C45/100,0)</f>
        <v/>
      </c>
      <c r="Y45" s="21">
        <f>COUNT(配方!D45:K45)</f>
        <v/>
      </c>
      <c r="Z45" s="21">
        <f>OR(I45&lt;0,I45&gt;1000,J45&lt;0,J45&gt;100,K45&lt;0,K45&gt;100,L45&lt;0,L45&gt;100,M45&lt;0,M45&gt;100,N45&lt;0,N45&gt;100,O45&lt;0,O45&gt;100,P45&lt;0,P45&gt;50000)</f>
        <v/>
      </c>
      <c r="AA45" s="21">
        <f>O45&gt;N45</f>
        <v/>
      </c>
      <c r="AB45" s="21">
        <f>ROUND(L45+M45,9)&gt;K45</f>
        <v/>
      </c>
      <c r="AC45" s="21">
        <f>LEN(TRIM(B45))&gt;0</f>
        <v/>
      </c>
    </row>
    <row r="46">
      <c r="A46" s="21" t="n">
        <v>5</v>
      </c>
      <c r="B46" s="20">
        <f>配方!B46&amp;""</f>
        <v/>
      </c>
      <c r="C46" s="23">
        <f>IF(ISNUMBER(配方!C46),配方!C46,0)</f>
        <v/>
      </c>
      <c r="D46" s="21">
        <f>COUNTA(配方!B46:K46)&gt;0</f>
        <v/>
      </c>
      <c r="F46" s="21">
        <f>IF(ISNUMBER(配方!C46),配方!C46&gt;0,FALSE)</f>
        <v/>
      </c>
      <c r="G46" s="21">
        <f>IF(NOT(D46),0,IF(AND(AC46,F46,Y46=8,NOT(Z46),NOT(AA46),NOT(AB46)),1,2))</f>
        <v/>
      </c>
      <c r="H46" s="23">
        <f>IF(AND(D46,F46),C46,0)</f>
        <v/>
      </c>
      <c r="I46" s="23">
        <f>IF(ISNUMBER(配方!D46),配方!D46,0)</f>
        <v/>
      </c>
      <c r="J46" s="23">
        <f>IF(ISNUMBER(配方!E46),配方!E46,0)</f>
        <v/>
      </c>
      <c r="K46" s="23">
        <f>IF(ISNUMBER(配方!F46),配方!F46,0)</f>
        <v/>
      </c>
      <c r="L46" s="23">
        <f>IF(ISNUMBER(配方!G46),配方!G46,0)</f>
        <v/>
      </c>
      <c r="M46" s="23">
        <f>IF(ISNUMBER(配方!H46),配方!H46,0)</f>
        <v/>
      </c>
      <c r="N46" s="23">
        <f>IF(ISNUMBER(配方!I46),配方!I46,0)</f>
        <v/>
      </c>
      <c r="O46" s="23">
        <f>IF(ISNUMBER(配方!J46),配方!J46,0)</f>
        <v/>
      </c>
      <c r="P46" s="23">
        <f>IF(ISNUMBER(配方!K46),配方!K46,0)</f>
        <v/>
      </c>
      <c r="Q46" s="23">
        <f>IF(G46=1,I46*C46/100,0)</f>
        <v/>
      </c>
      <c r="R46" s="23">
        <f>IF(G46=1,J46*C46/100,0)</f>
        <v/>
      </c>
      <c r="S46" s="23">
        <f>IF(G46=1,K46*C46/100,0)</f>
        <v/>
      </c>
      <c r="T46" s="23">
        <f>IF(G46=1,L46*C46/100,0)</f>
        <v/>
      </c>
      <c r="U46" s="23">
        <f>IF(G46=1,M46*C46/100,0)</f>
        <v/>
      </c>
      <c r="V46" s="23">
        <f>IF(G46=1,N46*C46/100,0)</f>
        <v/>
      </c>
      <c r="W46" s="23">
        <f>IF(G46=1,O46*C46/100,0)</f>
        <v/>
      </c>
      <c r="X46" s="23">
        <f>IF(G46=1,P46*C46/100,0)</f>
        <v/>
      </c>
      <c r="Y46" s="21">
        <f>COUNT(配方!D46:K46)</f>
        <v/>
      </c>
      <c r="Z46" s="21">
        <f>OR(I46&lt;0,I46&gt;1000,J46&lt;0,J46&gt;100,K46&lt;0,K46&gt;100,L46&lt;0,L46&gt;100,M46&lt;0,M46&gt;100,N46&lt;0,N46&gt;100,O46&lt;0,O46&gt;100,P46&lt;0,P46&gt;50000)</f>
        <v/>
      </c>
      <c r="AA46" s="21">
        <f>O46&gt;N46</f>
        <v/>
      </c>
      <c r="AB46" s="21">
        <f>ROUND(L46+M46,9)&gt;K46</f>
        <v/>
      </c>
      <c r="AC46" s="21">
        <f>LEN(TRIM(B46))&gt;0</f>
        <v/>
      </c>
    </row>
    <row r="49">
      <c r="A49" s="3" t="inlineStr">
        <is>
          <t>合計與標示數字</t>
        </is>
      </c>
    </row>
    <row r="50" ht="42" customHeight="1">
      <c r="A50" s="22" t="inlineStr">
        <is>
          <t>項目</t>
        </is>
      </c>
      <c r="B50" s="22" t="inlineStr">
        <is>
          <t>整批合計</t>
        </is>
      </c>
      <c r="C50" s="22" t="inlineStr">
        <is>
          <t>每 100 公克（未修整）</t>
        </is>
      </c>
      <c r="D50" s="22" t="inlineStr">
        <is>
          <t>每份（未修整）</t>
        </is>
      </c>
      <c r="E50" s="22" t="inlineStr">
        <is>
          <t>每 100 公克（取 9 位）</t>
        </is>
      </c>
      <c r="F50" s="22" t="inlineStr">
        <is>
          <t>每份（取 9 位）</t>
        </is>
      </c>
      <c r="G50" s="22" t="inlineStr">
        <is>
          <t>每 100 公克符合附表二</t>
        </is>
      </c>
      <c r="H50" s="22" t="inlineStr">
        <is>
          <t>每份符合附表二</t>
        </is>
      </c>
      <c r="I50" s="22" t="inlineStr">
        <is>
          <t>印「0」</t>
        </is>
      </c>
      <c r="J50" s="22" t="inlineStr">
        <is>
          <t>每 100 公克（印出）</t>
        </is>
      </c>
      <c r="K50" s="22" t="inlineStr">
        <is>
          <t>每份（印出）</t>
        </is>
      </c>
      <c r="L50" s="22" t="inlineStr">
        <is>
          <t>每日參考值百分比（未修整）</t>
        </is>
      </c>
      <c r="M50" s="22" t="inlineStr">
        <is>
          <t>百分比（取 9 位）</t>
        </is>
      </c>
      <c r="N50" s="22" t="inlineStr">
        <is>
          <t>百分比（數字）</t>
        </is>
      </c>
      <c r="O50" s="22" t="inlineStr">
        <is>
          <t>格式二百分比欄</t>
        </is>
      </c>
      <c r="AF50" s="23" t="inlineStr">
        <is>
          <t>每日參考值（附表一）</t>
        </is>
      </c>
    </row>
    <row r="51">
      <c r="A51" s="20" t="inlineStr">
        <is>
          <t>熱量（大卡）</t>
        </is>
      </c>
      <c r="B51" s="23">
        <f>4*B52+9*B53+4*B56</f>
        <v/>
      </c>
      <c r="C51" s="23">
        <f>IF($C$5,B51*100/IF($C$5,$B$5,1),0)</f>
        <v/>
      </c>
      <c r="D51" s="23">
        <f>IF(AND($C$5,$C$6),B51*$B$6/IF($C$5,$B$5,1),0)</f>
        <v/>
      </c>
      <c r="E51" s="23">
        <f>ROUND(C51,9)</f>
        <v/>
      </c>
      <c r="F51" s="23">
        <f>ROUND(D51,9)</f>
        <v/>
      </c>
      <c r="G51" s="21">
        <f>AND(E51&lt;=4,G52,G53,G54,G55,G56,G57)</f>
        <v/>
      </c>
      <c r="H51" s="21">
        <f>AND(F51&lt;=4,H52,H53,H54,H55,H56,H57)</f>
        <v/>
      </c>
      <c r="I51" s="21">
        <f>AND(G51,H51)</f>
        <v/>
      </c>
      <c r="J51" s="21">
        <f>IF($B$84,IF(I51,"0",FIXED(ROUND(E51,0),0,TRUE)),"")</f>
        <v/>
      </c>
      <c r="K51" s="21">
        <f>IF($B$84,IF(I51,"0",IF(AND(D51&gt;0,ROUND(F51,0)=0),FIXED(ROUND(ROUND(F51*10,8),0)/10,1,TRUE),FIXED(ROUND(F51,0),0,TRUE))),"")</f>
        <v/>
      </c>
      <c r="L51" s="23">
        <f>IF(AND($C$5,$C$6),D51/$AG$51*100,0)</f>
        <v/>
      </c>
      <c r="M51" s="23">
        <f>ROUND(L51,9)</f>
        <v/>
      </c>
      <c r="N51" s="21">
        <f>IF($B$84,IF(I51,"0",IF(AND(L51&gt;0,ROUND(M51,0)=0),FIXED(ROUND(ROUND(M51*10,8),0)/10,1,TRUE),FIXED(ROUND(M51,0),0,TRUE))),"")</f>
        <v/>
      </c>
      <c r="O51" s="21">
        <f>IF(N51="","",N51&amp;"%")</f>
        <v/>
      </c>
      <c r="AF51" s="23" t="inlineStr">
        <is>
          <t>熱量</t>
        </is>
      </c>
      <c r="AG51" s="24" t="n">
        <v>2000</v>
      </c>
    </row>
    <row r="52">
      <c r="A52" s="20" t="inlineStr">
        <is>
          <t>蛋白質（公克）</t>
        </is>
      </c>
      <c r="B52" s="23">
        <f>SUM(R14:R38)+SUM(R42:R46)</f>
        <v/>
      </c>
      <c r="C52" s="23">
        <f>IF($C$5,B52*100/IF($C$5,$B$5,1),0)</f>
        <v/>
      </c>
      <c r="D52" s="23">
        <f>IF(AND($C$5,$C$6),B52*$B$6/IF($C$5,$B$5,1),0)</f>
        <v/>
      </c>
      <c r="E52" s="23">
        <f>ROUND(C52,9)</f>
        <v/>
      </c>
      <c r="F52" s="23">
        <f>ROUND(D52,9)</f>
        <v/>
      </c>
      <c r="G52" s="21">
        <f>E52&lt;=0.5</f>
        <v/>
      </c>
      <c r="H52" s="21">
        <f>F52&lt;=0.5</f>
        <v/>
      </c>
      <c r="I52" s="21">
        <f>AND(G52,H52)</f>
        <v/>
      </c>
      <c r="J52" s="21">
        <f>IF($B$84,IF(I52,"0",FIXED(ROUND(ROUND(E52*10,8),0)/10,1,TRUE)),"")</f>
        <v/>
      </c>
      <c r="K52" s="21">
        <f>IF($B$84,IF(I52,"0",FIXED(ROUND(ROUND(F52*10,8),0)/10,1,TRUE)),"")</f>
        <v/>
      </c>
      <c r="L52" s="23">
        <f>IF(AND($C$5,$C$6),D52/$AG$52*100,0)</f>
        <v/>
      </c>
      <c r="M52" s="23">
        <f>ROUND(L52,9)</f>
        <v/>
      </c>
      <c r="N52" s="21">
        <f>IF($B$84,IF(I52,"0",IF(AND(L52&gt;0,ROUND(M52,0)=0),FIXED(ROUND(ROUND(M52*10,8),0)/10,1,TRUE),FIXED(ROUND(M52,0),0,TRUE))),"")</f>
        <v/>
      </c>
      <c r="O52" s="21">
        <f>IF(N52="","",N52&amp;"%")</f>
        <v/>
      </c>
      <c r="AF52" s="23" t="inlineStr">
        <is>
          <t>蛋白質</t>
        </is>
      </c>
      <c r="AG52" s="24" t="n">
        <v>60</v>
      </c>
    </row>
    <row r="53">
      <c r="A53" s="20" t="inlineStr">
        <is>
          <t>脂肪（公克）</t>
        </is>
      </c>
      <c r="B53" s="23">
        <f>SUM(S14:S38)+SUM(S42:S46)</f>
        <v/>
      </c>
      <c r="C53" s="23">
        <f>IF($C$5,B53*100/IF($C$5,$B$5,1),0)</f>
        <v/>
      </c>
      <c r="D53" s="23">
        <f>IF(AND($C$5,$C$6),B53*$B$6/IF($C$5,$B$5,1),0)</f>
        <v/>
      </c>
      <c r="E53" s="23">
        <f>ROUND(C53,9)</f>
        <v/>
      </c>
      <c r="F53" s="23">
        <f>ROUND(D53,9)</f>
        <v/>
      </c>
      <c r="G53" s="21">
        <f>E53&lt;=0.5</f>
        <v/>
      </c>
      <c r="H53" s="21">
        <f>F53&lt;=0.5</f>
        <v/>
      </c>
      <c r="I53" s="21">
        <f>AND(G53,G54,G55,H53,H54,H55)</f>
        <v/>
      </c>
      <c r="J53" s="21">
        <f>IF($B$84,IF(I53,"0",FIXED(ROUND(ROUND(E53*10,8),0)/10,1,TRUE)),"")</f>
        <v/>
      </c>
      <c r="K53" s="21">
        <f>IF($B$84,IF(I53,"0",FIXED(ROUND(ROUND(F53*10,8),0)/10,1,TRUE)),"")</f>
        <v/>
      </c>
      <c r="L53" s="23">
        <f>IF(AND($C$5,$C$6),D53/$AG$53*100,0)</f>
        <v/>
      </c>
      <c r="M53" s="23">
        <f>ROUND(L53,9)</f>
        <v/>
      </c>
      <c r="N53" s="21">
        <f>IF($B$84,IF(I53,"0",IF(AND(L53&gt;0,ROUND(M53,0)=0),FIXED(ROUND(ROUND(M53*10,8),0)/10,1,TRUE),FIXED(ROUND(M53,0),0,TRUE))),"")</f>
        <v/>
      </c>
      <c r="O53" s="21">
        <f>IF(N53="","",N53&amp;"%")</f>
        <v/>
      </c>
      <c r="AF53" s="23" t="inlineStr">
        <is>
          <t>脂肪</t>
        </is>
      </c>
      <c r="AG53" s="24" t="n">
        <v>60</v>
      </c>
    </row>
    <row r="54">
      <c r="A54" s="20" t="inlineStr">
        <is>
          <t>飽和脂肪（公克）</t>
        </is>
      </c>
      <c r="B54" s="23">
        <f>SUM(T14:T38)+SUM(T42:T46)</f>
        <v/>
      </c>
      <c r="C54" s="23">
        <f>IF($C$5,B54*100/IF($C$5,$B$5,1),0)</f>
        <v/>
      </c>
      <c r="D54" s="23">
        <f>IF(AND($C$5,$C$6),B54*$B$6/IF($C$5,$B$5,1),0)</f>
        <v/>
      </c>
      <c r="E54" s="23">
        <f>ROUND(C54,9)</f>
        <v/>
      </c>
      <c r="F54" s="23">
        <f>ROUND(D54,9)</f>
        <v/>
      </c>
      <c r="G54" s="21">
        <f>E54&lt;=0.1</f>
        <v/>
      </c>
      <c r="H54" s="21">
        <f>F54&lt;=0.1</f>
        <v/>
      </c>
      <c r="I54" s="21">
        <f>AND(G54,H54)</f>
        <v/>
      </c>
      <c r="J54" s="21">
        <f>IF($B$84,IF(I54,"0",FIXED(ROUND(ROUND(E54*10,8),0)/10,1,TRUE)),"")</f>
        <v/>
      </c>
      <c r="K54" s="21">
        <f>IF($B$84,IF(I54,"0",FIXED(ROUND(ROUND(F54*10,8),0)/10,1,TRUE)),"")</f>
        <v/>
      </c>
      <c r="L54" s="23">
        <f>IF(AND($C$5,$C$6),D54/$AG$54*100,0)</f>
        <v/>
      </c>
      <c r="M54" s="23">
        <f>ROUND(L54,9)</f>
        <v/>
      </c>
      <c r="N54" s="21">
        <f>IF($B$84,IF(I54,"0",IF(AND(L54&gt;0,ROUND(M54,0)=0),FIXED(ROUND(ROUND(M54*10,8),0)/10,1,TRUE),FIXED(ROUND(M54,0),0,TRUE))),"")</f>
        <v/>
      </c>
      <c r="O54" s="21">
        <f>IF(N54="","",N54&amp;"%")</f>
        <v/>
      </c>
      <c r="AF54" s="23" t="inlineStr">
        <is>
          <t>飽和脂肪</t>
        </is>
      </c>
      <c r="AG54" s="24" t="n">
        <v>18</v>
      </c>
    </row>
    <row r="55">
      <c r="A55" s="20" t="inlineStr">
        <is>
          <t>反式脂肪（公克）</t>
        </is>
      </c>
      <c r="B55" s="23">
        <f>SUM(U14:U38)+SUM(U42:U46)</f>
        <v/>
      </c>
      <c r="C55" s="23">
        <f>IF($C$5,B55*100/IF($C$5,$B$5,1),0)</f>
        <v/>
      </c>
      <c r="D55" s="23">
        <f>IF(AND($C$5,$C$6),B55*$B$6/IF($C$5,$B$5,1),0)</f>
        <v/>
      </c>
      <c r="E55" s="23">
        <f>ROUND(C55,9)</f>
        <v/>
      </c>
      <c r="F55" s="23">
        <f>ROUND(D55,9)</f>
        <v/>
      </c>
      <c r="G55" s="21">
        <f>OR(E53&lt;=1,E55&lt;=0.3)</f>
        <v/>
      </c>
      <c r="H55" s="21">
        <f>OR(F53&lt;=1,F55&lt;=0.3)</f>
        <v/>
      </c>
      <c r="I55" s="21">
        <f>AND(G55,H55)</f>
        <v/>
      </c>
      <c r="J55" s="21">
        <f>IF($B$84,IF(I55,"0",FIXED(ROUND(ROUND(E55*10,8),0)/10,1,TRUE)),"")</f>
        <v/>
      </c>
      <c r="K55" s="21">
        <f>IF($B$84,IF(I55,"0",FIXED(ROUND(ROUND(F55*10,8),0)/10,1,TRUE)),"")</f>
        <v/>
      </c>
      <c r="N55" s="21" t="inlineStr">
        <is>
          <t>＊</t>
        </is>
      </c>
      <c r="O55" s="21" t="inlineStr">
        <is>
          <t>＊</t>
        </is>
      </c>
      <c r="AF55" s="23" t="inlineStr">
        <is>
          <t>反式脂肪</t>
        </is>
      </c>
    </row>
    <row r="56">
      <c r="A56" s="20" t="inlineStr">
        <is>
          <t>碳水化合物（公克）</t>
        </is>
      </c>
      <c r="B56" s="23">
        <f>SUM(V14:V38)+SUM(V42:V46)</f>
        <v/>
      </c>
      <c r="C56" s="23">
        <f>IF($C$5,B56*100/IF($C$5,$B$5,1),0)</f>
        <v/>
      </c>
      <c r="D56" s="23">
        <f>IF(AND($C$5,$C$6),B56*$B$6/IF($C$5,$B$5,1),0)</f>
        <v/>
      </c>
      <c r="E56" s="23">
        <f>ROUND(C56,9)</f>
        <v/>
      </c>
      <c r="F56" s="23">
        <f>ROUND(D56,9)</f>
        <v/>
      </c>
      <c r="G56" s="21">
        <f>E56&lt;=0.5</f>
        <v/>
      </c>
      <c r="H56" s="21">
        <f>F56&lt;=0.5</f>
        <v/>
      </c>
      <c r="I56" s="21">
        <f>AND(G56,G57,H56,H57)</f>
        <v/>
      </c>
      <c r="J56" s="21">
        <f>IF($B$84,IF(I56,"0",FIXED(ROUND(ROUND(E56*10,8),0)/10,1,TRUE)),"")</f>
        <v/>
      </c>
      <c r="K56" s="21">
        <f>IF($B$84,IF(I56,"0",FIXED(ROUND(ROUND(F56*10,8),0)/10,1,TRUE)),"")</f>
        <v/>
      </c>
      <c r="L56" s="23">
        <f>IF(AND($C$5,$C$6),D56/$AG$56*100,0)</f>
        <v/>
      </c>
      <c r="M56" s="23">
        <f>ROUND(L56,9)</f>
        <v/>
      </c>
      <c r="N56" s="21">
        <f>IF($B$84,IF(I56,"0",IF(AND(L56&gt;0,ROUND(M56,0)=0),FIXED(ROUND(ROUND(M56*10,8),0)/10,1,TRUE),FIXED(ROUND(M56,0),0,TRUE))),"")</f>
        <v/>
      </c>
      <c r="O56" s="21">
        <f>IF(N56="","",N56&amp;"%")</f>
        <v/>
      </c>
      <c r="AF56" s="23" t="inlineStr">
        <is>
          <t>碳水化合物</t>
        </is>
      </c>
      <c r="AG56" s="24" t="n">
        <v>300</v>
      </c>
    </row>
    <row r="57">
      <c r="A57" s="20" t="inlineStr">
        <is>
          <t>糖（公克）</t>
        </is>
      </c>
      <c r="B57" s="23">
        <f>SUM(W14:W38)+SUM(W42:W46)</f>
        <v/>
      </c>
      <c r="C57" s="23">
        <f>IF($C$5,B57*100/IF($C$5,$B$5,1),0)</f>
        <v/>
      </c>
      <c r="D57" s="23">
        <f>IF(AND($C$5,$C$6),B57*$B$6/IF($C$5,$B$5,1),0)</f>
        <v/>
      </c>
      <c r="E57" s="23">
        <f>ROUND(C57,9)</f>
        <v/>
      </c>
      <c r="F57" s="23">
        <f>ROUND(D57,9)</f>
        <v/>
      </c>
      <c r="G57" s="21">
        <f>E57&lt;=0.5</f>
        <v/>
      </c>
      <c r="H57" s="21">
        <f>F57&lt;=0.5</f>
        <v/>
      </c>
      <c r="I57" s="21">
        <f>AND(G57,H57)</f>
        <v/>
      </c>
      <c r="J57" s="21">
        <f>IF($B$84,IF(I57,"0",FIXED(ROUND(ROUND(E57*10,8),0)/10,1,TRUE)),"")</f>
        <v/>
      </c>
      <c r="K57" s="21">
        <f>IF($B$84,IF(I57,"0",FIXED(ROUND(ROUND(F57*10,8),0)/10,1,TRUE)),"")</f>
        <v/>
      </c>
      <c r="N57" s="21" t="inlineStr">
        <is>
          <t>＊</t>
        </is>
      </c>
      <c r="O57" s="21" t="inlineStr">
        <is>
          <t>＊</t>
        </is>
      </c>
      <c r="AF57" s="23" t="inlineStr">
        <is>
          <t>糖</t>
        </is>
      </c>
    </row>
    <row r="58">
      <c r="A58" s="20" t="inlineStr">
        <is>
          <t>鈉（毫克）</t>
        </is>
      </c>
      <c r="B58" s="23">
        <f>SUM(X14:X38)+SUM(X42:X46)</f>
        <v/>
      </c>
      <c r="C58" s="23">
        <f>IF($C$5,B58*100/IF($C$5,$B$5,1),0)</f>
        <v/>
      </c>
      <c r="D58" s="23">
        <f>IF(AND($C$5,$C$6),B58*$B$6/IF($C$5,$B$5,1),0)</f>
        <v/>
      </c>
      <c r="E58" s="23">
        <f>ROUND(C58,9)</f>
        <v/>
      </c>
      <c r="F58" s="23">
        <f>ROUND(D58,9)</f>
        <v/>
      </c>
      <c r="G58" s="21">
        <f>E58&lt;=5</f>
        <v/>
      </c>
      <c r="H58" s="21">
        <f>F58&lt;=5</f>
        <v/>
      </c>
      <c r="I58" s="21">
        <f>AND(G58,H58)</f>
        <v/>
      </c>
      <c r="J58" s="21">
        <f>IF($B$84,IF(I58,"0",FIXED(ROUND(E58,0),0,TRUE)),"")</f>
        <v/>
      </c>
      <c r="K58" s="21">
        <f>IF($B$84,IF(I58,"0",IF(AND(D58&gt;0,ROUND(F58,0)=0),FIXED(ROUND(ROUND(F58*10,8),0)/10,1,TRUE),FIXED(ROUND(F58,0),0,TRUE))),"")</f>
        <v/>
      </c>
      <c r="L58" s="23">
        <f>IF(AND($C$5,$C$6),D58/$AG$58*100,0)</f>
        <v/>
      </c>
      <c r="M58" s="23">
        <f>ROUND(L58,9)</f>
        <v/>
      </c>
      <c r="N58" s="21">
        <f>IF($B$84,IF(I58,"0",IF(AND(L58&gt;0,ROUND(M58,0)=0),FIXED(ROUND(ROUND(M58*10,8),0)/10,1,TRUE),FIXED(ROUND(M58,0),0,TRUE))),"")</f>
        <v/>
      </c>
      <c r="O58" s="21">
        <f>IF(N58="","",N58&amp;"%")</f>
        <v/>
      </c>
      <c r="AF58" s="23" t="inlineStr">
        <is>
          <t>鈉</t>
        </is>
      </c>
      <c r="AG58" s="24" t="n">
        <v>2000</v>
      </c>
    </row>
    <row r="60">
      <c r="A60" s="20" t="inlineStr">
        <is>
          <t>「原料」工作表熱量加總（只拿來比對，不進標示）</t>
        </is>
      </c>
      <c r="B60" s="23">
        <f>SUM(Q14:Q38)+SUM(Q42:Q46)</f>
        <v/>
      </c>
    </row>
    <row r="61">
      <c r="A61" s="20" t="inlineStr">
        <is>
          <t>蛋白質＋脂肪＋碳水化合物（每 100 公克）</t>
        </is>
      </c>
      <c r="B61" s="23">
        <f>ROUND(C52+C53+C56,9)</f>
        <v/>
      </c>
    </row>
    <row r="63">
      <c r="A63" s="20" t="inlineStr">
        <is>
          <t>每一份量（印出）</t>
        </is>
      </c>
      <c r="B63" s="20">
        <f>IF(ROUND(ROUND(ROUND($B$6,9)*10,8),0)/10&lt;&gt;0,IF(ROUND(ROUND(ROUND($B$6,9)*10,8),0)/10=INT(ROUND(ROUND(ROUND($B$6,9)*10,8),0)/10),FIXED(ROUND(ROUND(ROUND($B$6,9)*10,8),0)/10,0,TRUE),FIXED(ROUND(ROUND(ROUND($B$6,9)*10,8),0)/10,1,TRUE)),IF(OR(ROUND($B$6,9)=0,ROUND(ROUND(ROUND($B$6,9)*100,7),0)/100=0),"0",FIXED(ROUND(ROUND(ROUND($B$6,9)*100,7),0)/100,2,TRUE)))</f>
        <v/>
      </c>
    </row>
    <row r="64">
      <c r="A64" s="20" t="inlineStr">
        <is>
          <t>本包裝含幾份（印出）</t>
        </is>
      </c>
      <c r="B64" s="20">
        <f>IF(ROUND(ROUND(ROUND($B$7,9)*10,8),0)/10=INT(ROUND(ROUND(ROUND($B$7,9)*10,8),0)/10),FIXED(ROUND(ROUND(ROUND($B$7,9)*10,8),0)/10,0,TRUE),FIXED(ROUND(ROUND(ROUND($B$7,9)*10,8),0)/10,1,TRUE))</f>
        <v/>
      </c>
    </row>
    <row r="66">
      <c r="A66" s="3" t="inlineStr">
        <is>
          <t>檢查（有的話，標示表下方會出紅字）</t>
        </is>
      </c>
    </row>
    <row r="67">
      <c r="A67" s="15" t="inlineStr">
        <is>
          <t>項目</t>
        </is>
      </c>
      <c r="B67" s="15" t="inlineStr">
        <is>
          <t>有沒有</t>
        </is>
      </c>
      <c r="C67" s="15" t="inlineStr">
        <is>
          <t>會不會擋住標示</t>
        </is>
      </c>
      <c r="D67" s="15" t="inlineStr">
        <is>
          <t>提示文字</t>
        </is>
      </c>
    </row>
    <row r="68">
      <c r="A68" s="14" t="inlineStr">
        <is>
          <t>沒有原料</t>
        </is>
      </c>
      <c r="B68" s="16">
        <f>COUNTIF(G14:G38,"&gt;0")+COUNTIF(G42:G46,"&gt;0")=0</f>
        <v/>
      </c>
      <c r="C68" s="16" t="inlineStr">
        <is>
          <t>會</t>
        </is>
      </c>
      <c r="D68" s="20" t="inlineStr">
        <is>
          <t>還沒有原料：請到「配方」選原料並填公克數。</t>
        </is>
      </c>
    </row>
    <row r="69">
      <c r="A69" s="14" t="inlineStr">
        <is>
          <t>原料列要修正</t>
        </is>
      </c>
      <c r="B69" s="16">
        <f>COUNTIF(G14:G38,2)&gt;0</f>
        <v/>
      </c>
      <c r="C69" s="16" t="inlineStr">
        <is>
          <t>會</t>
        </is>
      </c>
      <c r="D69" s="20" t="inlineStr">
        <is>
          <t>原料有一行沒填好，請看「配方」那一行右邊的紅字。</t>
        </is>
      </c>
    </row>
    <row r="70">
      <c r="A70" s="14" t="inlineStr">
        <is>
          <t>自填原料要修正</t>
        </is>
      </c>
      <c r="B70" s="16">
        <f>COUNTIF(G42:G46,2)&gt;0</f>
        <v/>
      </c>
      <c r="C70" s="16" t="inlineStr">
        <is>
          <t>會</t>
        </is>
      </c>
      <c r="D70" s="20" t="inlineStr">
        <is>
          <t>自填原料有一行沒填好，請看「配方」那一行右邊的紅字。</t>
        </is>
      </c>
    </row>
    <row r="71">
      <c r="A71" s="14" t="inlineStr">
        <is>
          <t>缺成品總重</t>
        </is>
      </c>
      <c r="B71" s="16">
        <f>NOT(C5)</f>
        <v/>
      </c>
      <c r="C71" s="16" t="inlineStr">
        <is>
          <t>會</t>
        </is>
      </c>
      <c r="D71" s="20" t="inlineStr">
        <is>
          <t>請先填成品總重（公克），要大於 0。</t>
        </is>
      </c>
    </row>
    <row r="72">
      <c r="A72" s="14" t="inlineStr">
        <is>
          <t>成品總重大於投入</t>
        </is>
      </c>
      <c r="B72" s="16">
        <f>AND(C5,B9&gt;0,B5&gt;B9)</f>
        <v/>
      </c>
      <c r="C72" s="16" t="inlineStr">
        <is>
          <t>會</t>
        </is>
      </c>
      <c r="D72" s="20" t="inlineStr">
        <is>
          <t>成品總重比原料投入合計還重，請補上漏填的原料（例如水），或重新秤成品總重。</t>
        </is>
      </c>
    </row>
    <row r="73">
      <c r="A73" s="14" t="inlineStr">
        <is>
          <t>缺每一份量</t>
        </is>
      </c>
      <c r="B73" s="16">
        <f>NOT(C6)</f>
        <v/>
      </c>
      <c r="C73" s="16" t="inlineStr">
        <is>
          <t>會</t>
        </is>
      </c>
      <c r="D73" s="20" t="inlineStr">
        <is>
          <t>請填每一份量（公克），要大於 0。</t>
        </is>
      </c>
    </row>
    <row r="74">
      <c r="A74" s="14" t="inlineStr">
        <is>
          <t>缺份數</t>
        </is>
      </c>
      <c r="B74" s="16">
        <f>NOT(C7)</f>
        <v/>
      </c>
      <c r="C74" s="16" t="inlineStr">
        <is>
          <t>會</t>
        </is>
      </c>
      <c r="D74" s="20" t="inlineStr">
        <is>
          <t>請填本包裝含幾份，要大於 0。</t>
        </is>
      </c>
    </row>
    <row r="75">
      <c r="A75" s="14" t="inlineStr">
        <is>
          <t>單包淨重不對</t>
        </is>
      </c>
      <c r="B75" s="16">
        <f>AND(D8,NOT(C8))</f>
        <v/>
      </c>
      <c r="C75" s="16" t="inlineStr">
        <is>
          <t>會</t>
        </is>
      </c>
      <c r="D75" s="20" t="inlineStr">
        <is>
          <t>單包淨重要填大於 0 的數字；不確定就先留空。</t>
        </is>
      </c>
    </row>
    <row r="76">
      <c r="A76" s="14" t="inlineStr">
        <is>
          <t>單包大於整批</t>
        </is>
      </c>
      <c r="B76" s="16">
        <f>AND(C8,C5,ROUND(B8,9)&gt;ROUND(B5+MAX(0.1,B5*0.01),9))</f>
        <v/>
      </c>
      <c r="C76" s="16" t="inlineStr">
        <is>
          <t>會</t>
        </is>
      </c>
      <c r="D76" s="20" t="inlineStr">
        <is>
          <t>單包淨重比成品總重還大，請確認是不是把整批重量填進單包淨重。</t>
        </is>
      </c>
    </row>
    <row r="77">
      <c r="A77" s="14" t="inlineStr">
        <is>
          <t>單項超過 100 公克</t>
        </is>
      </c>
      <c r="B77" s="16">
        <f>AND($B$83,OR(ROUND(C52,9)&gt;100,ROUND(C53,9)&gt;100,ROUND(C56,9)&gt;100))</f>
        <v/>
      </c>
      <c r="C77" s="16" t="inlineStr">
        <is>
          <t>會</t>
        </is>
      </c>
      <c r="D77" s="20" t="inlineStr">
        <is>
          <t>每 100 公克的蛋白質、脂肪或碳水化合物算出來超過 100 公克，這不可能發生。通常是成品總重填得太小，請重新確認。</t>
        </is>
      </c>
    </row>
    <row r="78">
      <c r="A78" s="14" t="inlineStr">
        <is>
          <t>熱量超過 900 大卡</t>
        </is>
      </c>
      <c r="B78" s="16">
        <f>AND($B$83,NOT(OR(ROUND(C52,9)&gt;100,ROUND(C53,9)&gt;100,ROUND(C56,9)&gt;100)),ROUND(C51,9)&gt;900)</f>
        <v/>
      </c>
      <c r="C78" s="16" t="inlineStr">
        <is>
          <t>會</t>
        </is>
      </c>
      <c r="D78" s="20" t="inlineStr">
        <is>
          <t>每 100 公克的熱量算出來超過 900 大卡，比純油還高。請重新確認成品總重與各原料公克數。</t>
        </is>
      </c>
    </row>
    <row r="79">
      <c r="A79" s="14" t="inlineStr">
        <is>
          <t>鈉超過 40000 毫克</t>
        </is>
      </c>
      <c r="B79" s="16">
        <f>AND($B$83,ROUND(C58,9)&gt;40000)</f>
        <v/>
      </c>
      <c r="C79" s="16" t="inlineStr">
        <is>
          <t>會</t>
        </is>
      </c>
      <c r="D79" s="20" t="inlineStr">
        <is>
          <t>每 100 公克的鈉算出來超過 40000 毫克，比純食鹽還高。請重新確認成品總重與各原料公克數。</t>
        </is>
      </c>
    </row>
    <row r="80">
      <c r="A80" s="14" t="inlineStr">
        <is>
          <t>三大營養素合計超過</t>
        </is>
      </c>
      <c r="B80" s="16">
        <f>AND($B$83,NOT(OR(ROUND(C52,9)&gt;100,ROUND(C53,9)&gt;100,ROUND(C56,9)&gt;100)),B61&gt;101)</f>
        <v/>
      </c>
      <c r="C80" s="16" t="inlineStr">
        <is>
          <t>不會</t>
        </is>
      </c>
      <c r="D80" s="20" t="inlineStr">
        <is>
          <t>蛋白質、脂肪、碳水化合物每 100 公克合計超過 100 公克。數字照樣算給你核對，但通常代表成品總重偏低，請查清楚再印。</t>
        </is>
      </c>
    </row>
    <row r="81">
      <c r="A81" s="14" t="inlineStr">
        <is>
          <t>份數對不上</t>
        </is>
      </c>
      <c r="B81" s="16">
        <f>AND(C10,C6,C7,ROUND(ABS(B6*B7-B10),9)&gt;ROUND(MAX(0.1,B10*0.01),9))</f>
        <v/>
      </c>
      <c r="C81" s="16" t="inlineStr">
        <is>
          <t>不會</t>
        </is>
      </c>
      <c r="D81" s="20" t="inlineStr">
        <is>
          <t>每一份量乘以份數，和成品總重（有填單包淨重時是單包淨重）對不上，請確認份數。</t>
        </is>
      </c>
    </row>
    <row r="83">
      <c r="A83" s="25" t="inlineStr">
        <is>
          <t>填寫沒問題</t>
        </is>
      </c>
      <c r="B83" s="21">
        <f>NOT(OR(B68,B69,B70,B71,B72,B73,B74,B75,B76))</f>
        <v/>
      </c>
    </row>
    <row r="84">
      <c r="A84" s="25" t="inlineStr">
        <is>
          <t>可以出標示數字</t>
        </is>
      </c>
      <c r="B84" s="21">
        <f>NOT(OR(B68,B69,B70,B71,B72,B73,B74,B75,B76,B77,B78,B79))</f>
        <v/>
      </c>
    </row>
    <row r="85">
      <c r="A85" s="25" t="inlineStr">
        <is>
          <t>最先要處理的一句</t>
        </is>
      </c>
      <c r="B85" s="20">
        <f>IF(B68,D68,IF(B69,D69,IF(B70,D70,IF(B71,D71,IF(B72,D72,IF(B73,D73,IF(B74,D74,IF(B75,D75,IF(B76,D76,IF(B77,D77,IF(B78,D78,IF(B79,D79,IF(B80,D80,IF(B81,D81,""))))))))))))))</f>
        <v/>
      </c>
    </row>
  </sheetData>
  <sheetProtection selectLockedCells="0" selectUnlockedCells="0" sheet="1" objects="0" insertRows="1" insertHyperlinks="1" autoFilter="1" scenarios="0" formatColumns="0" deleteColumns="1" insertColumns="1" pivotTables="1" deleteRows="1" formatCells="0" formatRows="0" sort="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4"/>
  <sheetViews>
    <sheetView showGridLines="0" workbookViewId="0">
      <selection activeCell="A1" sqref="A1"/>
    </sheetView>
  </sheetViews>
  <sheetFormatPr baseColWidth="8" defaultRowHeight="15"/>
  <cols>
    <col width="30" customWidth="1" min="1" max="1"/>
    <col width="16" customWidth="1" min="2" max="2"/>
    <col width="20" customWidth="1" min="3" max="3"/>
  </cols>
  <sheetData>
    <row r="1">
      <c r="A1" s="26">
        <f>配方!B5&amp;""</f>
        <v/>
      </c>
    </row>
    <row r="2" ht="26" customHeight="1">
      <c r="A2" s="27" t="inlineStr">
        <is>
          <t>營養標示</t>
        </is>
      </c>
    </row>
    <row r="3">
      <c r="A3" s="28">
        <f>IF(計算!$B$84,"每一份量 "&amp;計算!B63&amp;" 公克","每一份量＿＿＿＿公克")</f>
        <v/>
      </c>
    </row>
    <row r="4">
      <c r="A4" s="28">
        <f>IF(計算!$B$84,"本包裝含 "&amp;計算!B64&amp;" 份","本包裝含＿＿＿＿份")</f>
        <v/>
      </c>
    </row>
    <row r="6" ht="18" customHeight="1">
      <c r="A6" s="29" t="inlineStr">
        <is>
          <t>營養項目</t>
        </is>
      </c>
      <c r="B6" s="29" t="inlineStr">
        <is>
          <t>每份</t>
        </is>
      </c>
      <c r="C6" s="29" t="inlineStr">
        <is>
          <t>每 100 公克</t>
        </is>
      </c>
    </row>
    <row r="7">
      <c r="A7" s="30" t="inlineStr">
        <is>
          <t>熱量（大卡）</t>
        </is>
      </c>
      <c r="B7" s="31">
        <f>計算!K51</f>
        <v/>
      </c>
      <c r="C7" s="31">
        <f>計算!J51</f>
        <v/>
      </c>
    </row>
    <row r="8">
      <c r="A8" s="30" t="inlineStr">
        <is>
          <t>蛋白質（公克）</t>
        </is>
      </c>
      <c r="B8" s="31">
        <f>計算!K52</f>
        <v/>
      </c>
      <c r="C8" s="31">
        <f>計算!J52</f>
        <v/>
      </c>
    </row>
    <row r="9">
      <c r="A9" s="30" t="inlineStr">
        <is>
          <t>脂肪（公克）</t>
        </is>
      </c>
      <c r="B9" s="31">
        <f>計算!K53</f>
        <v/>
      </c>
      <c r="C9" s="31">
        <f>計算!J53</f>
        <v/>
      </c>
    </row>
    <row r="10">
      <c r="A10" s="30" t="inlineStr">
        <is>
          <t xml:space="preserve">　飽和脂肪（公克）</t>
        </is>
      </c>
      <c r="B10" s="31">
        <f>計算!K54</f>
        <v/>
      </c>
      <c r="C10" s="31">
        <f>計算!J54</f>
        <v/>
      </c>
    </row>
    <row r="11">
      <c r="A11" s="30" t="inlineStr">
        <is>
          <t xml:space="preserve">　反式脂肪（公克）</t>
        </is>
      </c>
      <c r="B11" s="31">
        <f>計算!K55</f>
        <v/>
      </c>
      <c r="C11" s="31">
        <f>計算!J55</f>
        <v/>
      </c>
    </row>
    <row r="12">
      <c r="A12" s="30" t="inlineStr">
        <is>
          <t>碳水化合物（公克）</t>
        </is>
      </c>
      <c r="B12" s="31">
        <f>計算!K56</f>
        <v/>
      </c>
      <c r="C12" s="31">
        <f>計算!J56</f>
        <v/>
      </c>
    </row>
    <row r="13">
      <c r="A13" s="30" t="inlineStr">
        <is>
          <t xml:space="preserve">　糖（公克）</t>
        </is>
      </c>
      <c r="B13" s="31">
        <f>計算!K57</f>
        <v/>
      </c>
      <c r="C13" s="31">
        <f>計算!J57</f>
        <v/>
      </c>
    </row>
    <row r="14">
      <c r="A14" s="30" t="inlineStr">
        <is>
          <t>鈉（毫克）</t>
        </is>
      </c>
      <c r="B14" s="31">
        <f>計算!K58</f>
        <v/>
      </c>
      <c r="C14" s="31">
        <f>計算!J58</f>
        <v/>
      </c>
    </row>
    <row r="20">
      <c r="A20" s="13" t="inlineStr">
        <is>
          <t>（以下紅字是提醒，不會印出來）</t>
        </is>
      </c>
    </row>
    <row r="21">
      <c r="A21" s="18">
        <f>IF(計算!B68,計算!D68,"")</f>
        <v/>
      </c>
    </row>
    <row r="22">
      <c r="A22" s="18">
        <f>IF(計算!B69,計算!D69,"")</f>
        <v/>
      </c>
    </row>
    <row r="23">
      <c r="A23" s="18">
        <f>IF(計算!B70,計算!D70,"")</f>
        <v/>
      </c>
    </row>
    <row r="24">
      <c r="A24" s="18">
        <f>IF(計算!B71,計算!D71,"")</f>
        <v/>
      </c>
    </row>
    <row r="25">
      <c r="A25" s="18">
        <f>IF(計算!B72,計算!D72,"")</f>
        <v/>
      </c>
    </row>
    <row r="26">
      <c r="A26" s="18">
        <f>IF(計算!B73,計算!D73,"")</f>
        <v/>
      </c>
    </row>
    <row r="27">
      <c r="A27" s="18">
        <f>IF(計算!B74,計算!D74,"")</f>
        <v/>
      </c>
    </row>
    <row r="28">
      <c r="A28" s="18">
        <f>IF(計算!B75,計算!D75,"")</f>
        <v/>
      </c>
    </row>
    <row r="29">
      <c r="A29" s="18">
        <f>IF(計算!B76,計算!D76,"")</f>
        <v/>
      </c>
    </row>
    <row r="30">
      <c r="A30" s="18">
        <f>IF(計算!B77,計算!D77,"")</f>
        <v/>
      </c>
    </row>
    <row r="31">
      <c r="A31" s="18">
        <f>IF(計算!B78,計算!D78,"")</f>
        <v/>
      </c>
    </row>
    <row r="32">
      <c r="A32" s="18">
        <f>IF(計算!B79,計算!D79,"")</f>
        <v/>
      </c>
    </row>
    <row r="33">
      <c r="A33" s="18">
        <f>IF(計算!B80,計算!D80,"")</f>
        <v/>
      </c>
    </row>
    <row r="34">
      <c r="A34" s="18">
        <f>IF(計算!B81,計算!D81,"")</f>
        <v/>
      </c>
    </row>
  </sheetData>
  <sheetProtection selectLockedCells="0" selectUnlockedCells="0" sheet="1" objects="0" insertRows="1" insertHyperlinks="1" autoFilter="1" scenarios="0" formatColumns="0" deleteColumns="1" insertColumns="1" pivotTables="1" deleteRows="1" formatCells="0" formatRows="0" sort="1"/>
  <mergeCells count="4">
    <mergeCell ref="A1:C1"/>
    <mergeCell ref="A4:C4"/>
    <mergeCell ref="A3:C3"/>
    <mergeCell ref="A2:C2"/>
  </mergeCells>
  <pageMargins left="0.75" right="0.75" top="1" bottom="1" header="0.5" footer="0.5"/>
  <pageSetup orientation="portrait"/>
</worksheet>
</file>

<file path=xl/worksheets/sheet6.xml><?xml version="1.0" encoding="utf-8"?>
<worksheet xmlns="http://schemas.openxmlformats.org/spreadsheetml/2006/main">
  <sheetPr>
    <outlinePr summaryBelow="1" summaryRight="1"/>
    <pageSetUpPr/>
  </sheetPr>
  <dimension ref="A1:C34"/>
  <sheetViews>
    <sheetView showGridLines="0" workbookViewId="0">
      <selection activeCell="A1" sqref="A1"/>
    </sheetView>
  </sheetViews>
  <sheetFormatPr baseColWidth="8" defaultRowHeight="15"/>
  <cols>
    <col width="30" customWidth="1" min="1" max="1"/>
    <col width="16" customWidth="1" min="2" max="2"/>
    <col width="20" customWidth="1" min="3" max="3"/>
  </cols>
  <sheetData>
    <row r="1">
      <c r="A1" s="26">
        <f>配方!B5&amp;""</f>
        <v/>
      </c>
    </row>
    <row r="2" ht="26" customHeight="1">
      <c r="A2" s="27" t="inlineStr">
        <is>
          <t>營養標示</t>
        </is>
      </c>
    </row>
    <row r="3">
      <c r="A3" s="28">
        <f>IF(計算!$B$84,"每一份量 "&amp;計算!B63&amp;" 公克","每一份量＿＿＿＿公克")</f>
        <v/>
      </c>
    </row>
    <row r="4">
      <c r="A4" s="28">
        <f>IF(計算!$B$84,"本包裝含 "&amp;計算!B64&amp;" 份","本包裝含＿＿＿＿份")</f>
        <v/>
      </c>
    </row>
    <row r="6" ht="30" customHeight="1">
      <c r="A6" s="29" t="inlineStr">
        <is>
          <t>營養項目</t>
        </is>
      </c>
      <c r="B6" s="29" t="inlineStr">
        <is>
          <t>每份</t>
        </is>
      </c>
      <c r="C6" s="29" t="inlineStr">
        <is>
          <t>每日參考值
百分比</t>
        </is>
      </c>
    </row>
    <row r="7">
      <c r="A7" s="30" t="inlineStr">
        <is>
          <t>熱量（大卡）</t>
        </is>
      </c>
      <c r="B7" s="31">
        <f>計算!K51</f>
        <v/>
      </c>
      <c r="C7" s="31">
        <f>計算!O51</f>
        <v/>
      </c>
    </row>
    <row r="8">
      <c r="A8" s="30" t="inlineStr">
        <is>
          <t>蛋白質（公克）</t>
        </is>
      </c>
      <c r="B8" s="31">
        <f>計算!K52</f>
        <v/>
      </c>
      <c r="C8" s="31">
        <f>計算!O52</f>
        <v/>
      </c>
    </row>
    <row r="9">
      <c r="A9" s="30" t="inlineStr">
        <is>
          <t>脂肪（公克）</t>
        </is>
      </c>
      <c r="B9" s="31">
        <f>計算!K53</f>
        <v/>
      </c>
      <c r="C9" s="31">
        <f>計算!O53</f>
        <v/>
      </c>
    </row>
    <row r="10">
      <c r="A10" s="30" t="inlineStr">
        <is>
          <t xml:space="preserve">　飽和脂肪（公克）</t>
        </is>
      </c>
      <c r="B10" s="31">
        <f>計算!K54</f>
        <v/>
      </c>
      <c r="C10" s="31">
        <f>計算!O54</f>
        <v/>
      </c>
    </row>
    <row r="11">
      <c r="A11" s="30" t="inlineStr">
        <is>
          <t xml:space="preserve">　反式脂肪（公克）</t>
        </is>
      </c>
      <c r="B11" s="31">
        <f>計算!K55</f>
        <v/>
      </c>
      <c r="C11" s="31" t="inlineStr">
        <is>
          <t>＊</t>
        </is>
      </c>
    </row>
    <row r="12">
      <c r="A12" s="30" t="inlineStr">
        <is>
          <t>碳水化合物（公克）</t>
        </is>
      </c>
      <c r="B12" s="31">
        <f>計算!K56</f>
        <v/>
      </c>
      <c r="C12" s="31">
        <f>計算!O56</f>
        <v/>
      </c>
    </row>
    <row r="13">
      <c r="A13" s="30" t="inlineStr">
        <is>
          <t xml:space="preserve">　糖（公克）</t>
        </is>
      </c>
      <c r="B13" s="31">
        <f>計算!K57</f>
        <v/>
      </c>
      <c r="C13" s="31" t="inlineStr">
        <is>
          <t>＊</t>
        </is>
      </c>
    </row>
    <row r="14">
      <c r="A14" s="30" t="inlineStr">
        <is>
          <t>鈉（毫克）</t>
        </is>
      </c>
      <c r="B14" s="31">
        <f>計算!K58</f>
        <v/>
      </c>
      <c r="C14" s="31">
        <f>計算!O58</f>
        <v/>
      </c>
    </row>
    <row r="16">
      <c r="A16" s="32" t="inlineStr">
        <is>
          <t>＊參考值未訂定</t>
        </is>
      </c>
    </row>
    <row r="17">
      <c r="A17" s="32" t="inlineStr">
        <is>
          <t>每日參考值：熱量 2000 大卡、蛋白質 60 公克、脂肪 60 公克、飽和脂肪 18 公克、碳水化合物 300 公克、鈉 2000 毫克。</t>
        </is>
      </c>
    </row>
    <row r="20">
      <c r="A20" s="13" t="inlineStr">
        <is>
          <t>（以下紅字是提醒，不會印出來）</t>
        </is>
      </c>
    </row>
    <row r="21">
      <c r="A21" s="18">
        <f>IF(計算!B68,計算!D68,"")</f>
        <v/>
      </c>
    </row>
    <row r="22">
      <c r="A22" s="18">
        <f>IF(計算!B69,計算!D69,"")</f>
        <v/>
      </c>
    </row>
    <row r="23">
      <c r="A23" s="18">
        <f>IF(計算!B70,計算!D70,"")</f>
        <v/>
      </c>
    </row>
    <row r="24">
      <c r="A24" s="18">
        <f>IF(計算!B71,計算!D71,"")</f>
        <v/>
      </c>
    </row>
    <row r="25">
      <c r="A25" s="18">
        <f>IF(計算!B72,計算!D72,"")</f>
        <v/>
      </c>
    </row>
    <row r="26">
      <c r="A26" s="18">
        <f>IF(計算!B73,計算!D73,"")</f>
        <v/>
      </c>
    </row>
    <row r="27">
      <c r="A27" s="18">
        <f>IF(計算!B74,計算!D74,"")</f>
        <v/>
      </c>
    </row>
    <row r="28">
      <c r="A28" s="18">
        <f>IF(計算!B75,計算!D75,"")</f>
        <v/>
      </c>
    </row>
    <row r="29">
      <c r="A29" s="18">
        <f>IF(計算!B76,計算!D76,"")</f>
        <v/>
      </c>
    </row>
    <row r="30">
      <c r="A30" s="18">
        <f>IF(計算!B77,計算!D77,"")</f>
        <v/>
      </c>
    </row>
    <row r="31">
      <c r="A31" s="18">
        <f>IF(計算!B78,計算!D78,"")</f>
        <v/>
      </c>
    </row>
    <row r="32">
      <c r="A32" s="18">
        <f>IF(計算!B79,計算!D79,"")</f>
        <v/>
      </c>
    </row>
    <row r="33">
      <c r="A33" s="18">
        <f>IF(計算!B80,計算!D80,"")</f>
        <v/>
      </c>
    </row>
    <row r="34">
      <c r="A34" s="18">
        <f>IF(計算!B81,計算!D81,"")</f>
        <v/>
      </c>
    </row>
  </sheetData>
  <sheetProtection selectLockedCells="0" selectUnlockedCells="0" sheet="1" objects="0" insertRows="1" insertHyperlinks="1" autoFilter="1" scenarios="0" formatColumns="0" deleteColumns="1" insertColumns="1" pivotTables="1" deleteRows="1" formatCells="0" formatRows="0" sort="1"/>
  <mergeCells count="6">
    <mergeCell ref="A1:C1"/>
    <mergeCell ref="A16:C16"/>
    <mergeCell ref="A17:C17"/>
    <mergeCell ref="A3:C3"/>
    <mergeCell ref="A4:C4"/>
    <mergeCell ref="A2:C2"/>
  </mergeCells>
  <pageMargins left="0.75" right="0.75" top="1" bottom="1" header="0.5" footer="0.5"/>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foodlabeltool.com</dc:creator>
  <dc:title>營養標示計算表</dc:title>
  <dcterms:created xsi:type="dcterms:W3CDTF">2026-09-25T00:00:00Z</dcterms:created>
  <dcterms:modified xsi:type="dcterms:W3CDTF">2026-09-25T00:00:00Z</dcterms:modified>
  <cp:lastModifiedBy>foodlabeltool.com</cp:lastModifiedBy>
</cp:coreProperties>
</file>